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P:\0 PROJEKTY\2024_PROJEKTY\JIHLAVA_ŠKROUPOVA_DUSP\_VÝSTUP_PDF_ŠKROUPOVA\E_VÝKAZ_VÝMĚR\"/>
    </mc:Choice>
  </mc:AlternateContent>
  <xr:revisionPtr revIDLastSave="0" documentId="13_ncr:1_{FD704694-2A7E-43C4-8515-4063035A57AD}" xr6:coauthVersionLast="47" xr6:coauthVersionMax="47" xr10:uidLastSave="{00000000-0000-0000-0000-000000000000}"/>
  <bookViews>
    <workbookView xWindow="28680" yWindow="-120" windowWidth="29040" windowHeight="15840" tabRatio="937" activeTab="1" xr2:uid="{00000000-000D-0000-FFFF-FFFF00000000}"/>
  </bookViews>
  <sheets>
    <sheet name="REKAPITULACE" sheetId="4" r:id="rId1"/>
    <sheet name="SO 001 VRN" sheetId="26" r:id="rId2"/>
    <sheet name="SO 301.I." sheetId="6" r:id="rId3"/>
    <sheet name="DSO 301.I.1." sheetId="23" r:id="rId4"/>
    <sheet name="DSO 301.I.2." sheetId="22" r:id="rId5"/>
    <sheet name="DSO 301.I.3." sheetId="21" r:id="rId6"/>
    <sheet name="DSO 301.I.4." sheetId="20" r:id="rId7"/>
    <sheet name="SO 301.II." sheetId="7" r:id="rId8"/>
    <sheet name="SO 302.I." sheetId="9" r:id="rId9"/>
    <sheet name="DSO 302.I.1." sheetId="10" r:id="rId10"/>
    <sheet name="DSO 302.I.2." sheetId="13" r:id="rId11"/>
    <sheet name="DSO 302.I.3." sheetId="12" r:id="rId12"/>
    <sheet name="DSO 302.I.4." sheetId="14" r:id="rId13"/>
    <sheet name="DSO 302.I.5." sheetId="15" r:id="rId14"/>
    <sheet name="SO 302.II." sheetId="8" r:id="rId15"/>
    <sheet name="DSO 302.II.1." sheetId="16" r:id="rId16"/>
    <sheet name="SO 303" sheetId="24"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xlnm.Print_Area" localSheetId="3">'DSO 301.I.1.'!$A$1:$M$98</definedName>
    <definedName name="_xlnm.Print_Area" localSheetId="4">'DSO 301.I.2.'!$A$1:$M$93</definedName>
    <definedName name="_xlnm.Print_Area" localSheetId="5">'DSO 301.I.3.'!$A$1:$M$108</definedName>
    <definedName name="_xlnm.Print_Area" localSheetId="6">'DSO 301.I.4.'!$A$1:$M$104</definedName>
    <definedName name="_xlnm.Print_Area" localSheetId="9">'DSO 302.I.1.'!$A$1:$M$106</definedName>
    <definedName name="_xlnm.Print_Area" localSheetId="10">'DSO 302.I.2.'!$A$1:$M$93</definedName>
    <definedName name="_xlnm.Print_Area" localSheetId="11">'DSO 302.I.3.'!$A$1:$M$91</definedName>
    <definedName name="_xlnm.Print_Area" localSheetId="12">'DSO 302.I.4.'!$A$1:$M$91</definedName>
    <definedName name="_xlnm.Print_Area" localSheetId="13">'DSO 302.I.5.'!$A$1:$M$94</definedName>
    <definedName name="_xlnm.Print_Area" localSheetId="15">'DSO 302.II.1.'!$A$1:$M$80</definedName>
    <definedName name="_xlnm.Print_Area" localSheetId="0">REKAPITULACE!$A$1:$I$45</definedName>
    <definedName name="_xlnm.Print_Area" localSheetId="1">'SO 001 VRN'!$A$1:$M$133</definedName>
    <definedName name="_xlnm.Print_Area" localSheetId="2">'SO 301.I.'!$A$1:$M$214</definedName>
    <definedName name="_xlnm.Print_Area" localSheetId="7">'SO 301.II.'!$A$1:$M$205</definedName>
    <definedName name="_xlnm.Print_Area" localSheetId="8">'SO 302.I.'!$A$1:$M$171</definedName>
    <definedName name="_xlnm.Print_Area" localSheetId="14">'SO 302.II.'!$A$1:$M$182</definedName>
    <definedName name="_xlnm.Print_Area" localSheetId="16">'SO 303'!$A$1:$M$25</definedName>
    <definedName name="vorn_sum" localSheetId="3">[1]VORN!$I$36</definedName>
    <definedName name="vorn_sum" localSheetId="4">[2]VORN!$I$36</definedName>
    <definedName name="vorn_sum" localSheetId="5">[3]VORN!$I$36</definedName>
    <definedName name="vorn_sum" localSheetId="6">[4]VORN!$I$36</definedName>
    <definedName name="vorn_sum" localSheetId="9">[5]VORN!$I$36</definedName>
    <definedName name="vorn_sum" localSheetId="10">[6]VORN!$I$36</definedName>
    <definedName name="vorn_sum" localSheetId="11">[7]VORN!$I$36</definedName>
    <definedName name="vorn_sum" localSheetId="12">[8]VORN!$I$36</definedName>
    <definedName name="vorn_sum" localSheetId="13">[9]VORN!$I$36</definedName>
    <definedName name="vorn_sum" localSheetId="15">[10]VORN!$I$36</definedName>
    <definedName name="vorn_sum" localSheetId="2">[11]VORN!$I$36</definedName>
    <definedName name="vorn_sum" localSheetId="7">[12]VORN!$I$36</definedName>
    <definedName name="vorn_sum" localSheetId="8">[13]VORN!$I$36</definedName>
    <definedName name="vorn_sum" localSheetId="14">[14]VORN!$I$36</definedName>
    <definedName name="vorn_sum">#REF!</definedName>
  </definedNames>
  <calcPr calcId="181029"/>
</workbook>
</file>

<file path=xl/calcChain.xml><?xml version="1.0" encoding="utf-8"?>
<calcChain xmlns="http://schemas.openxmlformats.org/spreadsheetml/2006/main">
  <c r="L126" i="26" l="1"/>
  <c r="J126" i="26"/>
  <c r="I126" i="26" s="1"/>
  <c r="H126" i="26"/>
  <c r="L124" i="26"/>
  <c r="J124" i="26"/>
  <c r="H124" i="26"/>
  <c r="L122" i="26"/>
  <c r="J122" i="26"/>
  <c r="I122" i="26" s="1"/>
  <c r="H122" i="26"/>
  <c r="L120" i="26"/>
  <c r="J120" i="26"/>
  <c r="H120" i="26"/>
  <c r="L118" i="26"/>
  <c r="J118" i="26"/>
  <c r="I118" i="26" s="1"/>
  <c r="H118" i="26"/>
  <c r="L116" i="26"/>
  <c r="J116" i="26"/>
  <c r="I116" i="26" s="1"/>
  <c r="H116" i="26"/>
  <c r="L114" i="26"/>
  <c r="J114" i="26"/>
  <c r="I114" i="26" s="1"/>
  <c r="H114" i="26"/>
  <c r="L112" i="26"/>
  <c r="J112" i="26"/>
  <c r="I112" i="26"/>
  <c r="H112" i="26"/>
  <c r="L110" i="26"/>
  <c r="J110" i="26"/>
  <c r="I110" i="26"/>
  <c r="H110" i="26"/>
  <c r="L108" i="26"/>
  <c r="J108" i="26"/>
  <c r="I108" i="26"/>
  <c r="H108" i="26"/>
  <c r="L106" i="26"/>
  <c r="J106" i="26"/>
  <c r="I106" i="26" s="1"/>
  <c r="H106" i="26"/>
  <c r="L104" i="26"/>
  <c r="J104" i="26"/>
  <c r="I104" i="26" s="1"/>
  <c r="H104" i="26"/>
  <c r="L102" i="26"/>
  <c r="J102" i="26"/>
  <c r="I102" i="26" s="1"/>
  <c r="H102" i="26"/>
  <c r="L95" i="26"/>
  <c r="J95" i="26"/>
  <c r="I95" i="26"/>
  <c r="H95" i="26"/>
  <c r="L93" i="26"/>
  <c r="J93" i="26"/>
  <c r="I93" i="26" s="1"/>
  <c r="H93" i="26"/>
  <c r="L91" i="26"/>
  <c r="J91" i="26"/>
  <c r="I91" i="26"/>
  <c r="H91" i="26"/>
  <c r="L89" i="26"/>
  <c r="J89" i="26"/>
  <c r="I89" i="26" s="1"/>
  <c r="H89" i="26"/>
  <c r="L87" i="26"/>
  <c r="J87" i="26"/>
  <c r="I87" i="26" s="1"/>
  <c r="H87" i="26"/>
  <c r="L85" i="26"/>
  <c r="J85" i="26"/>
  <c r="I85" i="26" s="1"/>
  <c r="H85" i="26"/>
  <c r="L83" i="26"/>
  <c r="J83" i="26"/>
  <c r="I83" i="26"/>
  <c r="H83" i="26"/>
  <c r="L81" i="26"/>
  <c r="J81" i="26"/>
  <c r="I81" i="26" s="1"/>
  <c r="H81" i="26"/>
  <c r="L79" i="26"/>
  <c r="J79" i="26"/>
  <c r="I79" i="26" s="1"/>
  <c r="H79" i="26"/>
  <c r="L77" i="26"/>
  <c r="J77" i="26"/>
  <c r="I77" i="26" s="1"/>
  <c r="H77" i="26"/>
  <c r="L75" i="26"/>
  <c r="J75" i="26"/>
  <c r="I75" i="26" s="1"/>
  <c r="H75" i="26"/>
  <c r="L73" i="26"/>
  <c r="J73" i="26"/>
  <c r="I73" i="26" s="1"/>
  <c r="H73" i="26"/>
  <c r="L66" i="26"/>
  <c r="J66" i="26"/>
  <c r="I66" i="26" s="1"/>
  <c r="H66" i="26"/>
  <c r="L64" i="26"/>
  <c r="J64" i="26"/>
  <c r="I64" i="26" s="1"/>
  <c r="H64" i="26"/>
  <c r="L62" i="26"/>
  <c r="J62" i="26"/>
  <c r="I62" i="26" s="1"/>
  <c r="H62" i="26"/>
  <c r="L60" i="26"/>
  <c r="J60" i="26"/>
  <c r="I60" i="26"/>
  <c r="H60" i="26"/>
  <c r="L58" i="26"/>
  <c r="J58" i="26"/>
  <c r="I58" i="26" s="1"/>
  <c r="H58" i="26"/>
  <c r="L56" i="26"/>
  <c r="J56" i="26"/>
  <c r="I56" i="26"/>
  <c r="H56" i="26"/>
  <c r="L54" i="26"/>
  <c r="J54" i="26"/>
  <c r="I54" i="26" s="1"/>
  <c r="H54" i="26"/>
  <c r="L52" i="26"/>
  <c r="J52" i="26"/>
  <c r="I52" i="26" s="1"/>
  <c r="H52" i="26"/>
  <c r="L50" i="26"/>
  <c r="J50" i="26"/>
  <c r="I50" i="26" s="1"/>
  <c r="H50" i="26"/>
  <c r="L48" i="26"/>
  <c r="J48" i="26"/>
  <c r="I48" i="26" s="1"/>
  <c r="H48" i="26"/>
  <c r="L46" i="26"/>
  <c r="J46" i="26"/>
  <c r="I46" i="26" s="1"/>
  <c r="H46" i="26"/>
  <c r="L44" i="26"/>
  <c r="J44" i="26"/>
  <c r="I44" i="26"/>
  <c r="H44" i="26"/>
  <c r="L42" i="26"/>
  <c r="J42" i="26"/>
  <c r="H42" i="26"/>
  <c r="J35" i="26"/>
  <c r="J33" i="26"/>
  <c r="J31" i="26"/>
  <c r="J29" i="26"/>
  <c r="J27" i="26"/>
  <c r="J25" i="26"/>
  <c r="I25" i="26"/>
  <c r="H25" i="26"/>
  <c r="I120" i="26" l="1"/>
  <c r="I124" i="26"/>
  <c r="H130" i="26"/>
  <c r="J130" i="26"/>
  <c r="F24" i="4" s="1"/>
  <c r="I42" i="26"/>
  <c r="I130" i="26" l="1"/>
  <c r="BU21" i="24"/>
  <c r="BH21" i="24"/>
  <c r="X21" i="24" s="1"/>
  <c r="BB21" i="24"/>
  <c r="AN21" i="24"/>
  <c r="BG21" i="24" s="1"/>
  <c r="AM21" i="24"/>
  <c r="BF21" i="24" s="1"/>
  <c r="AJ21" i="24"/>
  <c r="AS20" i="24" s="1"/>
  <c r="AH21" i="24"/>
  <c r="AQ20" i="24" s="1"/>
  <c r="AF21" i="24"/>
  <c r="AE21" i="24"/>
  <c r="AD21" i="24"/>
  <c r="AC21" i="24"/>
  <c r="AB21" i="24"/>
  <c r="AA21" i="24"/>
  <c r="Z21" i="24"/>
  <c r="L21" i="24"/>
  <c r="BD21" i="24" s="1"/>
  <c r="J21" i="24"/>
  <c r="J20" i="24" s="1"/>
  <c r="H21" i="24"/>
  <c r="H20" i="24" s="1"/>
  <c r="L20" i="24"/>
  <c r="BU18" i="24"/>
  <c r="BH18" i="24"/>
  <c r="BB18" i="24"/>
  <c r="AN18" i="24"/>
  <c r="BG18" i="24" s="1"/>
  <c r="AA18" i="24" s="1"/>
  <c r="AM18" i="24"/>
  <c r="BF18" i="24" s="1"/>
  <c r="Z18" i="24" s="1"/>
  <c r="AJ18" i="24"/>
  <c r="AH18" i="24"/>
  <c r="AF18" i="24"/>
  <c r="AE18" i="24"/>
  <c r="AD18" i="24"/>
  <c r="AC18" i="24"/>
  <c r="AB18" i="24"/>
  <c r="X18" i="24"/>
  <c r="L18" i="24"/>
  <c r="BD18" i="24" s="1"/>
  <c r="J18" i="24"/>
  <c r="I18" i="24"/>
  <c r="H18" i="24"/>
  <c r="BU16" i="24"/>
  <c r="BH16" i="24"/>
  <c r="BB16" i="24"/>
  <c r="AN16" i="24"/>
  <c r="BG16" i="24" s="1"/>
  <c r="AA16" i="24" s="1"/>
  <c r="AM16" i="24"/>
  <c r="BF16" i="24" s="1"/>
  <c r="Z16" i="24" s="1"/>
  <c r="AJ16" i="24"/>
  <c r="AH16" i="24"/>
  <c r="AF16" i="24"/>
  <c r="AE16" i="24"/>
  <c r="AD16" i="24"/>
  <c r="AC16" i="24"/>
  <c r="AB16" i="24"/>
  <c r="X16" i="24"/>
  <c r="L16" i="24"/>
  <c r="BD16" i="24" s="1"/>
  <c r="J16" i="24"/>
  <c r="AI16" i="24" s="1"/>
  <c r="I16" i="24"/>
  <c r="I15" i="24" s="1"/>
  <c r="H16" i="24"/>
  <c r="AS15" i="24"/>
  <c r="BU13" i="24"/>
  <c r="BH13" i="24"/>
  <c r="BB13" i="24"/>
  <c r="AN13" i="24"/>
  <c r="BG13" i="24" s="1"/>
  <c r="AA13" i="24" s="1"/>
  <c r="AM13" i="24"/>
  <c r="BF13" i="24" s="1"/>
  <c r="Z13" i="24" s="1"/>
  <c r="AJ13" i="24"/>
  <c r="AH13" i="24"/>
  <c r="AF13" i="24"/>
  <c r="AE13" i="24"/>
  <c r="AD13" i="24"/>
  <c r="AC13" i="24"/>
  <c r="AB13" i="24"/>
  <c r="X13" i="24"/>
  <c r="L13" i="24"/>
  <c r="BD13" i="24" s="1"/>
  <c r="J13" i="24"/>
  <c r="I13" i="24"/>
  <c r="I12" i="24" s="1"/>
  <c r="H13" i="24"/>
  <c r="H12" i="24" s="1"/>
  <c r="AS12" i="24"/>
  <c r="AQ12" i="24"/>
  <c r="L12" i="24"/>
  <c r="J12" i="24"/>
  <c r="AS1" i="24"/>
  <c r="AR1" i="24"/>
  <c r="AQ1" i="24"/>
  <c r="BU95" i="23"/>
  <c r="BH95" i="23"/>
  <c r="BB95" i="23"/>
  <c r="AN95" i="23"/>
  <c r="BG95" i="23" s="1"/>
  <c r="AM95" i="23"/>
  <c r="BF95" i="23" s="1"/>
  <c r="AJ95" i="23"/>
  <c r="AH95" i="23"/>
  <c r="AQ94" i="23" s="1"/>
  <c r="AF95" i="23"/>
  <c r="AE95" i="23"/>
  <c r="AD95" i="23"/>
  <c r="AC95" i="23"/>
  <c r="AB95" i="23"/>
  <c r="AA95" i="23"/>
  <c r="Z95" i="23"/>
  <c r="X95" i="23"/>
  <c r="L95" i="23"/>
  <c r="BD95" i="23" s="1"/>
  <c r="J95" i="23"/>
  <c r="AI95" i="23" s="1"/>
  <c r="AR94" i="23" s="1"/>
  <c r="H95" i="23"/>
  <c r="H94" i="23" s="1"/>
  <c r="AS94" i="23"/>
  <c r="L94" i="23"/>
  <c r="J94" i="23"/>
  <c r="BU93" i="23"/>
  <c r="BH93" i="23"/>
  <c r="X93" i="23" s="1"/>
  <c r="BD93" i="23"/>
  <c r="BB93" i="23"/>
  <c r="AN93" i="23"/>
  <c r="BG93" i="23" s="1"/>
  <c r="AM93" i="23"/>
  <c r="BF93" i="23" s="1"/>
  <c r="AJ93" i="23"/>
  <c r="AH93" i="23"/>
  <c r="AF93" i="23"/>
  <c r="AE93" i="23"/>
  <c r="AD93" i="23"/>
  <c r="AC93" i="23"/>
  <c r="AB93" i="23"/>
  <c r="AA93" i="23"/>
  <c r="Z93" i="23"/>
  <c r="L93" i="23"/>
  <c r="J93" i="23"/>
  <c r="BU92" i="23"/>
  <c r="BH92" i="23"/>
  <c r="X92" i="23" s="1"/>
  <c r="BB92" i="23"/>
  <c r="AN92" i="23"/>
  <c r="BG92" i="23" s="1"/>
  <c r="AM92" i="23"/>
  <c r="BF92" i="23" s="1"/>
  <c r="AJ92" i="23"/>
  <c r="AH92" i="23"/>
  <c r="AF92" i="23"/>
  <c r="AE92" i="23"/>
  <c r="AD92" i="23"/>
  <c r="AC92" i="23"/>
  <c r="AB92" i="23"/>
  <c r="AA92" i="23"/>
  <c r="Z92" i="23"/>
  <c r="L92" i="23"/>
  <c r="BD92" i="23" s="1"/>
  <c r="J92" i="23"/>
  <c r="AI92" i="23" s="1"/>
  <c r="I92" i="23"/>
  <c r="AQ91" i="23"/>
  <c r="L91" i="23"/>
  <c r="BU90" i="23"/>
  <c r="BH90" i="23"/>
  <c r="BB90" i="23"/>
  <c r="AV90" i="23"/>
  <c r="AN90" i="23"/>
  <c r="BG90" i="23" s="1"/>
  <c r="AM90" i="23"/>
  <c r="AJ90" i="23"/>
  <c r="AH90" i="23"/>
  <c r="AF90" i="23"/>
  <c r="AE90" i="23"/>
  <c r="AD90" i="23"/>
  <c r="AC90" i="23"/>
  <c r="AB90" i="23"/>
  <c r="AA90" i="23"/>
  <c r="Z90" i="23"/>
  <c r="X90" i="23"/>
  <c r="L90" i="23"/>
  <c r="BD90" i="23" s="1"/>
  <c r="J90" i="23"/>
  <c r="AI90" i="23" s="1"/>
  <c r="I90" i="23"/>
  <c r="BU88" i="23"/>
  <c r="BH88" i="23"/>
  <c r="BD88" i="23"/>
  <c r="BB88" i="23"/>
  <c r="AU88" i="23"/>
  <c r="AN88" i="23"/>
  <c r="BG88" i="23" s="1"/>
  <c r="AM88" i="23"/>
  <c r="BF88" i="23" s="1"/>
  <c r="AJ88" i="23"/>
  <c r="AS84" i="23" s="1"/>
  <c r="AH88" i="23"/>
  <c r="AF88" i="23"/>
  <c r="AE88" i="23"/>
  <c r="AD88" i="23"/>
  <c r="AC88" i="23"/>
  <c r="AB88" i="23"/>
  <c r="AA88" i="23"/>
  <c r="Z88" i="23"/>
  <c r="X88" i="23"/>
  <c r="L88" i="23"/>
  <c r="J88" i="23"/>
  <c r="I88" i="23"/>
  <c r="H88" i="23"/>
  <c r="BU86" i="23"/>
  <c r="BH86" i="23"/>
  <c r="X86" i="23" s="1"/>
  <c r="BB86" i="23"/>
  <c r="AN86" i="23"/>
  <c r="BG86" i="23" s="1"/>
  <c r="AM86" i="23"/>
  <c r="BF86" i="23" s="1"/>
  <c r="AJ86" i="23"/>
  <c r="AI86" i="23"/>
  <c r="AH86" i="23"/>
  <c r="AF86" i="23"/>
  <c r="AE86" i="23"/>
  <c r="AD86" i="23"/>
  <c r="AC86" i="23"/>
  <c r="AB86" i="23"/>
  <c r="AA86" i="23"/>
  <c r="Z86" i="23"/>
  <c r="L86" i="23"/>
  <c r="BD86" i="23" s="1"/>
  <c r="J86" i="23"/>
  <c r="H86" i="23"/>
  <c r="BU85" i="23"/>
  <c r="BH85" i="23"/>
  <c r="BB85" i="23"/>
  <c r="AN85" i="23"/>
  <c r="BG85" i="23" s="1"/>
  <c r="AM85" i="23"/>
  <c r="BF85" i="23" s="1"/>
  <c r="AJ85" i="23"/>
  <c r="AH85" i="23"/>
  <c r="AF85" i="23"/>
  <c r="AE85" i="23"/>
  <c r="AD85" i="23"/>
  <c r="AC85" i="23"/>
  <c r="AB85" i="23"/>
  <c r="AA85" i="23"/>
  <c r="Z85" i="23"/>
  <c r="X85" i="23"/>
  <c r="L85" i="23"/>
  <c r="BD85" i="23" s="1"/>
  <c r="J85" i="23"/>
  <c r="AI85" i="23" s="1"/>
  <c r="L84" i="23"/>
  <c r="BU82" i="23"/>
  <c r="BH82" i="23"/>
  <c r="BD82" i="23"/>
  <c r="BB82" i="23"/>
  <c r="AU82" i="23"/>
  <c r="AN82" i="23"/>
  <c r="BG82" i="23" s="1"/>
  <c r="AA82" i="23" s="1"/>
  <c r="AM82" i="23"/>
  <c r="BF82" i="23" s="1"/>
  <c r="Z82" i="23" s="1"/>
  <c r="AJ82" i="23"/>
  <c r="AS81" i="23" s="1"/>
  <c r="AH82" i="23"/>
  <c r="AF82" i="23"/>
  <c r="AE82" i="23"/>
  <c r="AD82" i="23"/>
  <c r="AC82" i="23"/>
  <c r="AB82" i="23"/>
  <c r="X82" i="23"/>
  <c r="L82" i="23"/>
  <c r="J82" i="23"/>
  <c r="H82" i="23"/>
  <c r="AQ81" i="23"/>
  <c r="L81" i="23"/>
  <c r="H81" i="23"/>
  <c r="BU79" i="23"/>
  <c r="BH79" i="23"/>
  <c r="BB79" i="23"/>
  <c r="AN79" i="23"/>
  <c r="AM79" i="23"/>
  <c r="BF79" i="23" s="1"/>
  <c r="Z79" i="23" s="1"/>
  <c r="AJ79" i="23"/>
  <c r="AH79" i="23"/>
  <c r="AF79" i="23"/>
  <c r="AE79" i="23"/>
  <c r="AD79" i="23"/>
  <c r="AC79" i="23"/>
  <c r="AB79" i="23"/>
  <c r="X79" i="23"/>
  <c r="L79" i="23"/>
  <c r="BD79" i="23" s="1"/>
  <c r="J79" i="23"/>
  <c r="AI79" i="23" s="1"/>
  <c r="BU77" i="23"/>
  <c r="BH77" i="23"/>
  <c r="BB77" i="23"/>
  <c r="AN77" i="23"/>
  <c r="BG77" i="23" s="1"/>
  <c r="AA77" i="23" s="1"/>
  <c r="AM77" i="23"/>
  <c r="AJ77" i="23"/>
  <c r="AH77" i="23"/>
  <c r="AF77" i="23"/>
  <c r="AE77" i="23"/>
  <c r="AD77" i="23"/>
  <c r="AC77" i="23"/>
  <c r="AB77" i="23"/>
  <c r="X77" i="23"/>
  <c r="L77" i="23"/>
  <c r="J77" i="23"/>
  <c r="AI77" i="23" s="1"/>
  <c r="I77" i="23"/>
  <c r="AS76" i="23"/>
  <c r="J76" i="23"/>
  <c r="BU74" i="23"/>
  <c r="BH74" i="23"/>
  <c r="BB74" i="23"/>
  <c r="AN74" i="23"/>
  <c r="BG74" i="23" s="1"/>
  <c r="AA74" i="23" s="1"/>
  <c r="AM74" i="23"/>
  <c r="BF74" i="23" s="1"/>
  <c r="Z74" i="23" s="1"/>
  <c r="AJ74" i="23"/>
  <c r="AI74" i="23"/>
  <c r="AR73" i="23" s="1"/>
  <c r="AH74" i="23"/>
  <c r="AF74" i="23"/>
  <c r="AE74" i="23"/>
  <c r="AD74" i="23"/>
  <c r="AC74" i="23"/>
  <c r="AB74" i="23"/>
  <c r="X74" i="23"/>
  <c r="L74" i="23"/>
  <c r="BD74" i="23" s="1"/>
  <c r="J74" i="23"/>
  <c r="I74" i="23"/>
  <c r="I73" i="23" s="1"/>
  <c r="H74" i="23"/>
  <c r="AS73" i="23"/>
  <c r="AQ73" i="23"/>
  <c r="L73" i="23"/>
  <c r="J73" i="23"/>
  <c r="H73" i="23"/>
  <c r="BU71" i="23"/>
  <c r="BH71" i="23"/>
  <c r="BB71" i="23"/>
  <c r="AV71" i="23"/>
  <c r="AN71" i="23"/>
  <c r="BG71" i="23" s="1"/>
  <c r="AC71" i="23" s="1"/>
  <c r="AM71" i="23"/>
  <c r="BF71" i="23" s="1"/>
  <c r="AB71" i="23" s="1"/>
  <c r="AJ71" i="23"/>
  <c r="AS70" i="23" s="1"/>
  <c r="AH71" i="23"/>
  <c r="AQ70" i="23" s="1"/>
  <c r="AF71" i="23"/>
  <c r="AE71" i="23"/>
  <c r="AD71" i="23"/>
  <c r="AA71" i="23"/>
  <c r="Z71" i="23"/>
  <c r="X71" i="23"/>
  <c r="L71" i="23"/>
  <c r="J71" i="23"/>
  <c r="AI71" i="23" s="1"/>
  <c r="AR70" i="23" s="1"/>
  <c r="I71" i="23"/>
  <c r="I70" i="23" s="1"/>
  <c r="J70" i="23"/>
  <c r="BU68" i="23"/>
  <c r="BH68" i="23"/>
  <c r="BB68" i="23"/>
  <c r="AN68" i="23"/>
  <c r="BG68" i="23" s="1"/>
  <c r="AA68" i="23" s="1"/>
  <c r="AM68" i="23"/>
  <c r="BF68" i="23" s="1"/>
  <c r="AJ68" i="23"/>
  <c r="AI68" i="23"/>
  <c r="AH68" i="23"/>
  <c r="AF68" i="23"/>
  <c r="AE68" i="23"/>
  <c r="AD68" i="23"/>
  <c r="AC68" i="23"/>
  <c r="AB68" i="23"/>
  <c r="Z68" i="23"/>
  <c r="X68" i="23"/>
  <c r="L68" i="23"/>
  <c r="BD68" i="23" s="1"/>
  <c r="J68" i="23"/>
  <c r="H68" i="23"/>
  <c r="BU66" i="23"/>
  <c r="BH66" i="23"/>
  <c r="BB66" i="23"/>
  <c r="AU66" i="23"/>
  <c r="AN66" i="23"/>
  <c r="AM66" i="23"/>
  <c r="BF66" i="23" s="1"/>
  <c r="Z66" i="23" s="1"/>
  <c r="AJ66" i="23"/>
  <c r="AH66" i="23"/>
  <c r="AF66" i="23"/>
  <c r="AE66" i="23"/>
  <c r="AD66" i="23"/>
  <c r="AC66" i="23"/>
  <c r="AB66" i="23"/>
  <c r="X66" i="23"/>
  <c r="L66" i="23"/>
  <c r="BD66" i="23" s="1"/>
  <c r="J66" i="23"/>
  <c r="AI66" i="23" s="1"/>
  <c r="H66" i="23"/>
  <c r="BU64" i="23"/>
  <c r="BH64" i="23"/>
  <c r="BB64" i="23"/>
  <c r="AV64" i="23"/>
  <c r="AN64" i="23"/>
  <c r="BG64" i="23" s="1"/>
  <c r="AA64" i="23" s="1"/>
  <c r="AM64" i="23"/>
  <c r="AJ64" i="23"/>
  <c r="AI64" i="23"/>
  <c r="AH64" i="23"/>
  <c r="AF64" i="23"/>
  <c r="AE64" i="23"/>
  <c r="AD64" i="23"/>
  <c r="AC64" i="23"/>
  <c r="AB64" i="23"/>
  <c r="X64" i="23"/>
  <c r="L64" i="23"/>
  <c r="J64" i="23"/>
  <c r="AS63" i="23"/>
  <c r="J63" i="23"/>
  <c r="BU61" i="23"/>
  <c r="BH61" i="23"/>
  <c r="BB61" i="23"/>
  <c r="AV61" i="23"/>
  <c r="AN61" i="23"/>
  <c r="BG61" i="23" s="1"/>
  <c r="AA61" i="23" s="1"/>
  <c r="AM61" i="23"/>
  <c r="H61" i="23" s="1"/>
  <c r="H60" i="23" s="1"/>
  <c r="AJ61" i="23"/>
  <c r="AI61" i="23"/>
  <c r="AR60" i="23" s="1"/>
  <c r="AH61" i="23"/>
  <c r="AF61" i="23"/>
  <c r="AE61" i="23"/>
  <c r="AD61" i="23"/>
  <c r="AC61" i="23"/>
  <c r="AB61" i="23"/>
  <c r="X61" i="23"/>
  <c r="L61" i="23"/>
  <c r="L60" i="23" s="1"/>
  <c r="J61" i="23"/>
  <c r="I61" i="23"/>
  <c r="I60" i="23" s="1"/>
  <c r="AS60" i="23"/>
  <c r="AQ60" i="23"/>
  <c r="J60" i="23"/>
  <c r="BU58" i="23"/>
  <c r="BH58" i="23"/>
  <c r="BB58" i="23"/>
  <c r="AV58" i="23"/>
  <c r="AN58" i="23"/>
  <c r="BG58" i="23" s="1"/>
  <c r="AA58" i="23" s="1"/>
  <c r="AM58" i="23"/>
  <c r="AJ58" i="23"/>
  <c r="AH58" i="23"/>
  <c r="AF58" i="23"/>
  <c r="AE58" i="23"/>
  <c r="AD58" i="23"/>
  <c r="AC58" i="23"/>
  <c r="AB58" i="23"/>
  <c r="X58" i="23"/>
  <c r="L58" i="23"/>
  <c r="J58" i="23"/>
  <c r="AI58" i="23" s="1"/>
  <c r="AR57" i="23" s="1"/>
  <c r="I58" i="23"/>
  <c r="I57" i="23" s="1"/>
  <c r="AS57" i="23"/>
  <c r="AQ57" i="23"/>
  <c r="J57" i="23"/>
  <c r="BU55" i="23"/>
  <c r="BH55" i="23"/>
  <c r="BB55" i="23"/>
  <c r="AN55" i="23"/>
  <c r="BG55" i="23" s="1"/>
  <c r="AA55" i="23" s="1"/>
  <c r="AM55" i="23"/>
  <c r="H55" i="23" s="1"/>
  <c r="H54" i="23" s="1"/>
  <c r="AJ55" i="23"/>
  <c r="AH55" i="23"/>
  <c r="AQ54" i="23" s="1"/>
  <c r="AF55" i="23"/>
  <c r="AE55" i="23"/>
  <c r="AD55" i="23"/>
  <c r="AC55" i="23"/>
  <c r="AB55" i="23"/>
  <c r="X55" i="23"/>
  <c r="L55" i="23"/>
  <c r="L54" i="23" s="1"/>
  <c r="J55" i="23"/>
  <c r="AI55" i="23" s="1"/>
  <c r="AR54" i="23" s="1"/>
  <c r="I55" i="23"/>
  <c r="I54" i="23" s="1"/>
  <c r="AS54" i="23"/>
  <c r="J54" i="23"/>
  <c r="BU52" i="23"/>
  <c r="BH52" i="23"/>
  <c r="BB52" i="23"/>
  <c r="AN52" i="23"/>
  <c r="BG52" i="23" s="1"/>
  <c r="AA52" i="23" s="1"/>
  <c r="AM52" i="23"/>
  <c r="AJ52" i="23"/>
  <c r="AH52" i="23"/>
  <c r="AF52" i="23"/>
  <c r="AE52" i="23"/>
  <c r="AD52" i="23"/>
  <c r="AC52" i="23"/>
  <c r="AB52" i="23"/>
  <c r="X52" i="23"/>
  <c r="L52" i="23"/>
  <c r="BD52" i="23" s="1"/>
  <c r="J52" i="23"/>
  <c r="AI52" i="23" s="1"/>
  <c r="BU50" i="23"/>
  <c r="BH50" i="23"/>
  <c r="BD50" i="23"/>
  <c r="BB50" i="23"/>
  <c r="AN50" i="23"/>
  <c r="I50" i="23" s="1"/>
  <c r="AM50" i="23"/>
  <c r="BF50" i="23" s="1"/>
  <c r="Z50" i="23" s="1"/>
  <c r="AJ50" i="23"/>
  <c r="AH50" i="23"/>
  <c r="AF50" i="23"/>
  <c r="AE50" i="23"/>
  <c r="AD50" i="23"/>
  <c r="AC50" i="23"/>
  <c r="AB50" i="23"/>
  <c r="X50" i="23"/>
  <c r="L50" i="23"/>
  <c r="J50" i="23"/>
  <c r="BU48" i="23"/>
  <c r="BH48" i="23"/>
  <c r="BB48" i="23"/>
  <c r="AN48" i="23"/>
  <c r="BG48" i="23" s="1"/>
  <c r="AA48" i="23" s="1"/>
  <c r="AM48" i="23"/>
  <c r="H48" i="23" s="1"/>
  <c r="AJ48" i="23"/>
  <c r="AH48" i="23"/>
  <c r="AQ47" i="23" s="1"/>
  <c r="AF48" i="23"/>
  <c r="AE48" i="23"/>
  <c r="AD48" i="23"/>
  <c r="AC48" i="23"/>
  <c r="AB48" i="23"/>
  <c r="X48" i="23"/>
  <c r="L48" i="23"/>
  <c r="J48" i="23"/>
  <c r="AI48" i="23" s="1"/>
  <c r="BU45" i="23"/>
  <c r="BH45" i="23"/>
  <c r="BB45" i="23"/>
  <c r="AN45" i="23"/>
  <c r="BG45" i="23" s="1"/>
  <c r="AA45" i="23" s="1"/>
  <c r="AM45" i="23"/>
  <c r="AJ45" i="23"/>
  <c r="AH45" i="23"/>
  <c r="AF45" i="23"/>
  <c r="AE45" i="23"/>
  <c r="AD45" i="23"/>
  <c r="AC45" i="23"/>
  <c r="AB45" i="23"/>
  <c r="X45" i="23"/>
  <c r="L45" i="23"/>
  <c r="BD45" i="23" s="1"/>
  <c r="J45" i="23"/>
  <c r="AI45" i="23" s="1"/>
  <c r="I45" i="23"/>
  <c r="BU43" i="23"/>
  <c r="BH43" i="23"/>
  <c r="BB43" i="23"/>
  <c r="AN43" i="23"/>
  <c r="AM43" i="23"/>
  <c r="BF43" i="23" s="1"/>
  <c r="Z43" i="23" s="1"/>
  <c r="AJ43" i="23"/>
  <c r="AH43" i="23"/>
  <c r="AF43" i="23"/>
  <c r="AE43" i="23"/>
  <c r="AD43" i="23"/>
  <c r="AC43" i="23"/>
  <c r="AB43" i="23"/>
  <c r="X43" i="23"/>
  <c r="L43" i="23"/>
  <c r="BD43" i="23" s="1"/>
  <c r="J43" i="23"/>
  <c r="AI43" i="23" s="1"/>
  <c r="H43" i="23"/>
  <c r="BU41" i="23"/>
  <c r="BH41" i="23"/>
  <c r="BD41" i="23"/>
  <c r="BB41" i="23"/>
  <c r="AV41" i="23"/>
  <c r="AN41" i="23"/>
  <c r="BG41" i="23" s="1"/>
  <c r="AM41" i="23"/>
  <c r="H41" i="23" s="1"/>
  <c r="AJ41" i="23"/>
  <c r="AH41" i="23"/>
  <c r="AF41" i="23"/>
  <c r="AE41" i="23"/>
  <c r="AD41" i="23"/>
  <c r="AC41" i="23"/>
  <c r="AB41" i="23"/>
  <c r="AA41" i="23"/>
  <c r="X41" i="23"/>
  <c r="L41" i="23"/>
  <c r="J41" i="23"/>
  <c r="AI41" i="23" s="1"/>
  <c r="I41" i="23"/>
  <c r="BU39" i="23"/>
  <c r="BH39" i="23"/>
  <c r="BD39" i="23"/>
  <c r="BB39" i="23"/>
  <c r="AN39" i="23"/>
  <c r="AV39" i="23" s="1"/>
  <c r="AM39" i="23"/>
  <c r="BF39" i="23" s="1"/>
  <c r="Z39" i="23" s="1"/>
  <c r="AJ39" i="23"/>
  <c r="AS38" i="23" s="1"/>
  <c r="AH39" i="23"/>
  <c r="AF39" i="23"/>
  <c r="AE39" i="23"/>
  <c r="AD39" i="23"/>
  <c r="AC39" i="23"/>
  <c r="AB39" i="23"/>
  <c r="X39" i="23"/>
  <c r="L39" i="23"/>
  <c r="J39" i="23"/>
  <c r="L38" i="23"/>
  <c r="BU36" i="23"/>
  <c r="BH36" i="23"/>
  <c r="BD36" i="23"/>
  <c r="BB36" i="23"/>
  <c r="AU36" i="23"/>
  <c r="AN36" i="23"/>
  <c r="I36" i="23" s="1"/>
  <c r="AM36" i="23"/>
  <c r="BF36" i="23" s="1"/>
  <c r="Z36" i="23" s="1"/>
  <c r="AJ36" i="23"/>
  <c r="AH36" i="23"/>
  <c r="AF36" i="23"/>
  <c r="AE36" i="23"/>
  <c r="AD36" i="23"/>
  <c r="AC36" i="23"/>
  <c r="AB36" i="23"/>
  <c r="X36" i="23"/>
  <c r="L36" i="23"/>
  <c r="J36" i="23"/>
  <c r="AI36" i="23" s="1"/>
  <c r="H36" i="23"/>
  <c r="BU34" i="23"/>
  <c r="BH34" i="23"/>
  <c r="BB34" i="23"/>
  <c r="AV34" i="23"/>
  <c r="AN34" i="23"/>
  <c r="BG34" i="23" s="1"/>
  <c r="AA34" i="23" s="1"/>
  <c r="AM34" i="23"/>
  <c r="H34" i="23" s="1"/>
  <c r="H33" i="23" s="1"/>
  <c r="AJ34" i="23"/>
  <c r="AH34" i="23"/>
  <c r="AF34" i="23"/>
  <c r="AE34" i="23"/>
  <c r="AD34" i="23"/>
  <c r="AC34" i="23"/>
  <c r="AB34" i="23"/>
  <c r="X34" i="23"/>
  <c r="L34" i="23"/>
  <c r="L33" i="23" s="1"/>
  <c r="J34" i="23"/>
  <c r="I34" i="23"/>
  <c r="I33" i="23" s="1"/>
  <c r="AQ33" i="23"/>
  <c r="BU31" i="23"/>
  <c r="BH31" i="23"/>
  <c r="BB31" i="23"/>
  <c r="AV31" i="23"/>
  <c r="AN31" i="23"/>
  <c r="BG31" i="23" s="1"/>
  <c r="AA31" i="23" s="1"/>
  <c r="AM31" i="23"/>
  <c r="AU31" i="23" s="1"/>
  <c r="AJ31" i="23"/>
  <c r="AI31" i="23"/>
  <c r="AH31" i="23"/>
  <c r="AF31" i="23"/>
  <c r="AE31" i="23"/>
  <c r="AD31" i="23"/>
  <c r="AC31" i="23"/>
  <c r="AB31" i="23"/>
  <c r="X31" i="23"/>
  <c r="L31" i="23"/>
  <c r="BD31" i="23" s="1"/>
  <c r="J31" i="23"/>
  <c r="I31" i="23"/>
  <c r="BU29" i="23"/>
  <c r="BH29" i="23"/>
  <c r="BD29" i="23"/>
  <c r="BB29" i="23"/>
  <c r="AV29" i="23"/>
  <c r="AU29" i="23"/>
  <c r="AT29" i="23" s="1"/>
  <c r="AN29" i="23"/>
  <c r="I29" i="23" s="1"/>
  <c r="AM29" i="23"/>
  <c r="BF29" i="23" s="1"/>
  <c r="Z29" i="23" s="1"/>
  <c r="AJ29" i="23"/>
  <c r="AH29" i="23"/>
  <c r="AF29" i="23"/>
  <c r="AE29" i="23"/>
  <c r="AD29" i="23"/>
  <c r="AC29" i="23"/>
  <c r="AB29" i="23"/>
  <c r="X29" i="23"/>
  <c r="L29" i="23"/>
  <c r="J29" i="23"/>
  <c r="AI29" i="23" s="1"/>
  <c r="H29" i="23"/>
  <c r="BU27" i="23"/>
  <c r="BH27" i="23"/>
  <c r="BB27" i="23"/>
  <c r="AN27" i="23"/>
  <c r="BG27" i="23" s="1"/>
  <c r="AA27" i="23" s="1"/>
  <c r="AM27" i="23"/>
  <c r="H27" i="23" s="1"/>
  <c r="AJ27" i="23"/>
  <c r="AH27" i="23"/>
  <c r="AF27" i="23"/>
  <c r="AE27" i="23"/>
  <c r="AD27" i="23"/>
  <c r="AC27" i="23"/>
  <c r="AB27" i="23"/>
  <c r="X27" i="23"/>
  <c r="L27" i="23"/>
  <c r="BD27" i="23" s="1"/>
  <c r="J27" i="23"/>
  <c r="AI27" i="23" s="1"/>
  <c r="I27" i="23"/>
  <c r="BU25" i="23"/>
  <c r="BH25" i="23"/>
  <c r="BD25" i="23"/>
  <c r="BB25" i="23"/>
  <c r="AU25" i="23"/>
  <c r="AN25" i="23"/>
  <c r="AV25" i="23" s="1"/>
  <c r="AM25" i="23"/>
  <c r="BF25" i="23" s="1"/>
  <c r="Z25" i="23" s="1"/>
  <c r="AJ25" i="23"/>
  <c r="AH25" i="23"/>
  <c r="AQ24" i="23" s="1"/>
  <c r="AF25" i="23"/>
  <c r="AE25" i="23"/>
  <c r="AD25" i="23"/>
  <c r="AC25" i="23"/>
  <c r="AB25" i="23"/>
  <c r="X25" i="23"/>
  <c r="L25" i="23"/>
  <c r="J25" i="23"/>
  <c r="J24" i="23" s="1"/>
  <c r="L24" i="23"/>
  <c r="BU22" i="23"/>
  <c r="BH22" i="23"/>
  <c r="BD22" i="23"/>
  <c r="BB22" i="23"/>
  <c r="AV22" i="23"/>
  <c r="AU22" i="23"/>
  <c r="AT22" i="23" s="1"/>
  <c r="AN22" i="23"/>
  <c r="I22" i="23" s="1"/>
  <c r="I21" i="23" s="1"/>
  <c r="AM22" i="23"/>
  <c r="BF22" i="23" s="1"/>
  <c r="Z22" i="23" s="1"/>
  <c r="AJ22" i="23"/>
  <c r="AS21" i="23" s="1"/>
  <c r="AH22" i="23"/>
  <c r="AQ21" i="23" s="1"/>
  <c r="AF22" i="23"/>
  <c r="AE22" i="23"/>
  <c r="AD22" i="23"/>
  <c r="AC22" i="23"/>
  <c r="AB22" i="23"/>
  <c r="X22" i="23"/>
  <c r="L22" i="23"/>
  <c r="L21" i="23" s="1"/>
  <c r="J22" i="23"/>
  <c r="AI22" i="23" s="1"/>
  <c r="AR21" i="23" s="1"/>
  <c r="H22" i="23"/>
  <c r="H21" i="23" s="1"/>
  <c r="BU19" i="23"/>
  <c r="BH19" i="23"/>
  <c r="BD19" i="23"/>
  <c r="BB19" i="23"/>
  <c r="AN19" i="23"/>
  <c r="AV19" i="23" s="1"/>
  <c r="AM19" i="23"/>
  <c r="BF19" i="23" s="1"/>
  <c r="Z19" i="23" s="1"/>
  <c r="AJ19" i="23"/>
  <c r="AH19" i="23"/>
  <c r="AF19" i="23"/>
  <c r="AE19" i="23"/>
  <c r="AD19" i="23"/>
  <c r="AC19" i="23"/>
  <c r="AB19" i="23"/>
  <c r="X19" i="23"/>
  <c r="L19" i="23"/>
  <c r="J19" i="23"/>
  <c r="AI19" i="23" s="1"/>
  <c r="BU17" i="23"/>
  <c r="BH17" i="23"/>
  <c r="BB17" i="23"/>
  <c r="AN17" i="23"/>
  <c r="BG17" i="23" s="1"/>
  <c r="AA17" i="23" s="1"/>
  <c r="AM17" i="23"/>
  <c r="AU17" i="23" s="1"/>
  <c r="AJ17" i="23"/>
  <c r="AH17" i="23"/>
  <c r="AF17" i="23"/>
  <c r="AE17" i="23"/>
  <c r="AD17" i="23"/>
  <c r="AC17" i="23"/>
  <c r="AB17" i="23"/>
  <c r="X17" i="23"/>
  <c r="L17" i="23"/>
  <c r="BD17" i="23" s="1"/>
  <c r="J17" i="23"/>
  <c r="AI17" i="23" s="1"/>
  <c r="BU15" i="23"/>
  <c r="BH15" i="23"/>
  <c r="BD15" i="23"/>
  <c r="BB15" i="23"/>
  <c r="AN15" i="23"/>
  <c r="I15" i="23" s="1"/>
  <c r="AM15" i="23"/>
  <c r="BF15" i="23" s="1"/>
  <c r="Z15" i="23" s="1"/>
  <c r="AJ15" i="23"/>
  <c r="AH15" i="23"/>
  <c r="AF15" i="23"/>
  <c r="AE15" i="23"/>
  <c r="AD15" i="23"/>
  <c r="AC15" i="23"/>
  <c r="AB15" i="23"/>
  <c r="X15" i="23"/>
  <c r="L15" i="23"/>
  <c r="J15" i="23"/>
  <c r="AI15" i="23" s="1"/>
  <c r="BU13" i="23"/>
  <c r="BH13" i="23"/>
  <c r="BB13" i="23"/>
  <c r="AN13" i="23"/>
  <c r="BG13" i="23" s="1"/>
  <c r="AA13" i="23" s="1"/>
  <c r="AM13" i="23"/>
  <c r="H13" i="23" s="1"/>
  <c r="AJ13" i="23"/>
  <c r="AH13" i="23"/>
  <c r="AQ12" i="23" s="1"/>
  <c r="AF13" i="23"/>
  <c r="AE13" i="23"/>
  <c r="AD13" i="23"/>
  <c r="AC13" i="23"/>
  <c r="AB13" i="23"/>
  <c r="X13" i="23"/>
  <c r="L13" i="23"/>
  <c r="L12" i="23" s="1"/>
  <c r="J13" i="23"/>
  <c r="AI13" i="23" s="1"/>
  <c r="AS1" i="23"/>
  <c r="AR1" i="23"/>
  <c r="AQ1" i="23"/>
  <c r="BU90" i="22"/>
  <c r="BH90" i="22"/>
  <c r="X90" i="22" s="1"/>
  <c r="BB90" i="22"/>
  <c r="AN90" i="22"/>
  <c r="BG90" i="22" s="1"/>
  <c r="AM90" i="22"/>
  <c r="BF90" i="22" s="1"/>
  <c r="AJ90" i="22"/>
  <c r="AH90" i="22"/>
  <c r="AQ89" i="22" s="1"/>
  <c r="AF90" i="22"/>
  <c r="AE90" i="22"/>
  <c r="AD90" i="22"/>
  <c r="AC90" i="22"/>
  <c r="AB90" i="22"/>
  <c r="AA90" i="22"/>
  <c r="Z90" i="22"/>
  <c r="L90" i="22"/>
  <c r="BD90" i="22" s="1"/>
  <c r="J90" i="22"/>
  <c r="AI90" i="22" s="1"/>
  <c r="AR89" i="22" s="1"/>
  <c r="AS89" i="22"/>
  <c r="L89" i="22"/>
  <c r="J89" i="22"/>
  <c r="BU88" i="22"/>
  <c r="BH88" i="22"/>
  <c r="BD88" i="22"/>
  <c r="BB88" i="22"/>
  <c r="AN88" i="22"/>
  <c r="BG88" i="22" s="1"/>
  <c r="AM88" i="22"/>
  <c r="BF88" i="22" s="1"/>
  <c r="AJ88" i="22"/>
  <c r="AS86" i="22" s="1"/>
  <c r="AH88" i="22"/>
  <c r="AF88" i="22"/>
  <c r="AE88" i="22"/>
  <c r="AD88" i="22"/>
  <c r="AC88" i="22"/>
  <c r="AB88" i="22"/>
  <c r="AA88" i="22"/>
  <c r="Z88" i="22"/>
  <c r="X88" i="22"/>
  <c r="L88" i="22"/>
  <c r="J88" i="22"/>
  <c r="I88" i="22"/>
  <c r="BU87" i="22"/>
  <c r="BH87" i="22"/>
  <c r="X87" i="22" s="1"/>
  <c r="BB87" i="22"/>
  <c r="AN87" i="22"/>
  <c r="BG87" i="22" s="1"/>
  <c r="AM87" i="22"/>
  <c r="BF87" i="22" s="1"/>
  <c r="AJ87" i="22"/>
  <c r="AI87" i="22"/>
  <c r="AH87" i="22"/>
  <c r="AF87" i="22"/>
  <c r="AE87" i="22"/>
  <c r="AD87" i="22"/>
  <c r="AC87" i="22"/>
  <c r="AB87" i="22"/>
  <c r="AA87" i="22"/>
  <c r="Z87" i="22"/>
  <c r="L87" i="22"/>
  <c r="BD87" i="22" s="1"/>
  <c r="J87" i="22"/>
  <c r="I87" i="22"/>
  <c r="H87" i="22"/>
  <c r="AQ86" i="22"/>
  <c r="L86" i="22"/>
  <c r="BU85" i="22"/>
  <c r="BH85" i="22"/>
  <c r="BB85" i="22"/>
  <c r="AN85" i="22"/>
  <c r="BG85" i="22" s="1"/>
  <c r="AM85" i="22"/>
  <c r="AJ85" i="22"/>
  <c r="AH85" i="22"/>
  <c r="AF85" i="22"/>
  <c r="AE85" i="22"/>
  <c r="AD85" i="22"/>
  <c r="AC85" i="22"/>
  <c r="AB85" i="22"/>
  <c r="AA85" i="22"/>
  <c r="Z85" i="22"/>
  <c r="X85" i="22"/>
  <c r="L85" i="22"/>
  <c r="BD85" i="22" s="1"/>
  <c r="J85" i="22"/>
  <c r="AI85" i="22" s="1"/>
  <c r="BU83" i="22"/>
  <c r="BH83" i="22"/>
  <c r="X83" i="22" s="1"/>
  <c r="BD83" i="22"/>
  <c r="BB83" i="22"/>
  <c r="AU83" i="22"/>
  <c r="AN83" i="22"/>
  <c r="BG83" i="22" s="1"/>
  <c r="AM83" i="22"/>
  <c r="BF83" i="22" s="1"/>
  <c r="AJ83" i="22"/>
  <c r="AH83" i="22"/>
  <c r="AF83" i="22"/>
  <c r="AE83" i="22"/>
  <c r="AD83" i="22"/>
  <c r="AC83" i="22"/>
  <c r="AB83" i="22"/>
  <c r="AA83" i="22"/>
  <c r="Z83" i="22"/>
  <c r="L83" i="22"/>
  <c r="J83" i="22"/>
  <c r="H83" i="22"/>
  <c r="BU81" i="22"/>
  <c r="BH81" i="22"/>
  <c r="X81" i="22" s="1"/>
  <c r="BB81" i="22"/>
  <c r="AN81" i="22"/>
  <c r="BG81" i="22" s="1"/>
  <c r="AM81" i="22"/>
  <c r="BF81" i="22" s="1"/>
  <c r="AJ81" i="22"/>
  <c r="AI81" i="22"/>
  <c r="AH81" i="22"/>
  <c r="AF81" i="22"/>
  <c r="AE81" i="22"/>
  <c r="AD81" i="22"/>
  <c r="AC81" i="22"/>
  <c r="AB81" i="22"/>
  <c r="AA81" i="22"/>
  <c r="Z81" i="22"/>
  <c r="L81" i="22"/>
  <c r="BD81" i="22" s="1"/>
  <c r="J81" i="22"/>
  <c r="H81" i="22"/>
  <c r="BU80" i="22"/>
  <c r="BH80" i="22"/>
  <c r="BB80" i="22"/>
  <c r="AN80" i="22"/>
  <c r="BG80" i="22" s="1"/>
  <c r="AM80" i="22"/>
  <c r="BF80" i="22" s="1"/>
  <c r="AJ80" i="22"/>
  <c r="AH80" i="22"/>
  <c r="AF80" i="22"/>
  <c r="AE80" i="22"/>
  <c r="AD80" i="22"/>
  <c r="AC80" i="22"/>
  <c r="AB80" i="22"/>
  <c r="AA80" i="22"/>
  <c r="Z80" i="22"/>
  <c r="X80" i="22"/>
  <c r="L80" i="22"/>
  <c r="BD80" i="22" s="1"/>
  <c r="J80" i="22"/>
  <c r="AI80" i="22" s="1"/>
  <c r="H80" i="22"/>
  <c r="L79" i="22"/>
  <c r="BU77" i="22"/>
  <c r="BH77" i="22"/>
  <c r="BD77" i="22"/>
  <c r="BB77" i="22"/>
  <c r="AU77" i="22"/>
  <c r="AN77" i="22"/>
  <c r="BG77" i="22" s="1"/>
  <c r="AA77" i="22" s="1"/>
  <c r="AM77" i="22"/>
  <c r="BF77" i="22" s="1"/>
  <c r="Z77" i="22" s="1"/>
  <c r="AJ77" i="22"/>
  <c r="AS76" i="22" s="1"/>
  <c r="AH77" i="22"/>
  <c r="AQ76" i="22" s="1"/>
  <c r="AF77" i="22"/>
  <c r="AE77" i="22"/>
  <c r="AD77" i="22"/>
  <c r="AC77" i="22"/>
  <c r="AB77" i="22"/>
  <c r="X77" i="22"/>
  <c r="L77" i="22"/>
  <c r="J77" i="22"/>
  <c r="I77" i="22"/>
  <c r="H77" i="22"/>
  <c r="L76" i="22"/>
  <c r="I76" i="22"/>
  <c r="H76" i="22"/>
  <c r="BU74" i="22"/>
  <c r="BH74" i="22"/>
  <c r="BB74" i="22"/>
  <c r="AN74" i="22"/>
  <c r="BG74" i="22" s="1"/>
  <c r="AA74" i="22" s="1"/>
  <c r="AM74" i="22"/>
  <c r="BF74" i="22" s="1"/>
  <c r="Z74" i="22" s="1"/>
  <c r="AJ74" i="22"/>
  <c r="AH74" i="22"/>
  <c r="AF74" i="22"/>
  <c r="AE74" i="22"/>
  <c r="AD74" i="22"/>
  <c r="AC74" i="22"/>
  <c r="AB74" i="22"/>
  <c r="X74" i="22"/>
  <c r="L74" i="22"/>
  <c r="BD74" i="22" s="1"/>
  <c r="J74" i="22"/>
  <c r="AI74" i="22" s="1"/>
  <c r="BU72" i="22"/>
  <c r="BH72" i="22"/>
  <c r="BB72" i="22"/>
  <c r="AN72" i="22"/>
  <c r="BG72" i="22" s="1"/>
  <c r="AA72" i="22" s="1"/>
  <c r="AM72" i="22"/>
  <c r="BF72" i="22" s="1"/>
  <c r="Z72" i="22" s="1"/>
  <c r="AJ72" i="22"/>
  <c r="AH72" i="22"/>
  <c r="AF72" i="22"/>
  <c r="AE72" i="22"/>
  <c r="AD72" i="22"/>
  <c r="AC72" i="22"/>
  <c r="AB72" i="22"/>
  <c r="X72" i="22"/>
  <c r="L72" i="22"/>
  <c r="J72" i="22"/>
  <c r="AI72" i="22" s="1"/>
  <c r="I72" i="22"/>
  <c r="AS71" i="22"/>
  <c r="BU69" i="22"/>
  <c r="BH69" i="22"/>
  <c r="BB69" i="22"/>
  <c r="AN69" i="22"/>
  <c r="BG69" i="22" s="1"/>
  <c r="AA69" i="22" s="1"/>
  <c r="AM69" i="22"/>
  <c r="H69" i="22" s="1"/>
  <c r="H68" i="22" s="1"/>
  <c r="AJ69" i="22"/>
  <c r="AH69" i="22"/>
  <c r="AQ68" i="22" s="1"/>
  <c r="AF69" i="22"/>
  <c r="AE69" i="22"/>
  <c r="AD69" i="22"/>
  <c r="AC69" i="22"/>
  <c r="AB69" i="22"/>
  <c r="X69" i="22"/>
  <c r="L69" i="22"/>
  <c r="L68" i="22" s="1"/>
  <c r="J69" i="22"/>
  <c r="AI69" i="22" s="1"/>
  <c r="AR68" i="22" s="1"/>
  <c r="I69" i="22"/>
  <c r="I68" i="22" s="1"/>
  <c r="AS68" i="22"/>
  <c r="J68" i="22"/>
  <c r="BU66" i="22"/>
  <c r="BH66" i="22"/>
  <c r="BB66" i="22"/>
  <c r="AN66" i="22"/>
  <c r="BG66" i="22" s="1"/>
  <c r="AC66" i="22" s="1"/>
  <c r="AM66" i="22"/>
  <c r="AJ66" i="22"/>
  <c r="AH66" i="22"/>
  <c r="AQ65" i="22" s="1"/>
  <c r="AF66" i="22"/>
  <c r="AE66" i="22"/>
  <c r="AD66" i="22"/>
  <c r="AA66" i="22"/>
  <c r="Z66" i="22"/>
  <c r="X66" i="22"/>
  <c r="L66" i="22"/>
  <c r="J66" i="22"/>
  <c r="AI66" i="22" s="1"/>
  <c r="AR65" i="22" s="1"/>
  <c r="AS65" i="22"/>
  <c r="J65" i="22"/>
  <c r="BU63" i="22"/>
  <c r="BH63" i="22"/>
  <c r="BB63" i="22"/>
  <c r="AV63" i="22"/>
  <c r="AN63" i="22"/>
  <c r="BG63" i="22" s="1"/>
  <c r="AA63" i="22" s="1"/>
  <c r="AM63" i="22"/>
  <c r="H63" i="22" s="1"/>
  <c r="AJ63" i="22"/>
  <c r="AI63" i="22"/>
  <c r="AH63" i="22"/>
  <c r="AF63" i="22"/>
  <c r="AE63" i="22"/>
  <c r="AD63" i="22"/>
  <c r="AC63" i="22"/>
  <c r="AB63" i="22"/>
  <c r="X63" i="22"/>
  <c r="L63" i="22"/>
  <c r="BD63" i="22" s="1"/>
  <c r="J63" i="22"/>
  <c r="I63" i="22"/>
  <c r="BU61" i="22"/>
  <c r="BH61" i="22"/>
  <c r="BD61" i="22"/>
  <c r="BB61" i="22"/>
  <c r="AU61" i="22"/>
  <c r="AN61" i="22"/>
  <c r="AM61" i="22"/>
  <c r="BF61" i="22" s="1"/>
  <c r="Z61" i="22" s="1"/>
  <c r="AJ61" i="22"/>
  <c r="AH61" i="22"/>
  <c r="AF61" i="22"/>
  <c r="AE61" i="22"/>
  <c r="AD61" i="22"/>
  <c r="AC61" i="22"/>
  <c r="AB61" i="22"/>
  <c r="X61" i="22"/>
  <c r="L61" i="22"/>
  <c r="J61" i="22"/>
  <c r="AI61" i="22" s="1"/>
  <c r="H61" i="22"/>
  <c r="BU59" i="22"/>
  <c r="BH59" i="22"/>
  <c r="BB59" i="22"/>
  <c r="AV59" i="22"/>
  <c r="AN59" i="22"/>
  <c r="BG59" i="22" s="1"/>
  <c r="AA59" i="22" s="1"/>
  <c r="AM59" i="22"/>
  <c r="AJ59" i="22"/>
  <c r="AI59" i="22"/>
  <c r="AH59" i="22"/>
  <c r="AF59" i="22"/>
  <c r="AE59" i="22"/>
  <c r="AD59" i="22"/>
  <c r="AC59" i="22"/>
  <c r="AB59" i="22"/>
  <c r="X59" i="22"/>
  <c r="L59" i="22"/>
  <c r="J59" i="22"/>
  <c r="I59" i="22"/>
  <c r="BU57" i="22"/>
  <c r="BH57" i="22"/>
  <c r="BD57" i="22"/>
  <c r="BB57" i="22"/>
  <c r="AU57" i="22"/>
  <c r="AN57" i="22"/>
  <c r="I57" i="22" s="1"/>
  <c r="AM57" i="22"/>
  <c r="BF57" i="22" s="1"/>
  <c r="Z57" i="22" s="1"/>
  <c r="AJ57" i="22"/>
  <c r="AH57" i="22"/>
  <c r="AQ56" i="22" s="1"/>
  <c r="AF57" i="22"/>
  <c r="AE57" i="22"/>
  <c r="AD57" i="22"/>
  <c r="AC57" i="22"/>
  <c r="AB57" i="22"/>
  <c r="X57" i="22"/>
  <c r="L57" i="22"/>
  <c r="J57" i="22"/>
  <c r="H57" i="22"/>
  <c r="BU54" i="22"/>
  <c r="BH54" i="22"/>
  <c r="BD54" i="22"/>
  <c r="BB54" i="22"/>
  <c r="AN54" i="22"/>
  <c r="BG54" i="22" s="1"/>
  <c r="AA54" i="22" s="1"/>
  <c r="AM54" i="22"/>
  <c r="BF54" i="22" s="1"/>
  <c r="Z54" i="22" s="1"/>
  <c r="AJ54" i="22"/>
  <c r="AS53" i="22" s="1"/>
  <c r="AH54" i="22"/>
  <c r="AQ53" i="22" s="1"/>
  <c r="AF54" i="22"/>
  <c r="AE54" i="22"/>
  <c r="AD54" i="22"/>
  <c r="AC54" i="22"/>
  <c r="AB54" i="22"/>
  <c r="X54" i="22"/>
  <c r="L54" i="22"/>
  <c r="J54" i="22"/>
  <c r="J53" i="22" s="1"/>
  <c r="L53" i="22"/>
  <c r="BU51" i="22"/>
  <c r="BH51" i="22"/>
  <c r="BD51" i="22"/>
  <c r="BB51" i="22"/>
  <c r="AU51" i="22"/>
  <c r="AN51" i="22"/>
  <c r="I51" i="22" s="1"/>
  <c r="AM51" i="22"/>
  <c r="BF51" i="22" s="1"/>
  <c r="Z51" i="22" s="1"/>
  <c r="AJ51" i="22"/>
  <c r="AS50" i="22" s="1"/>
  <c r="AH51" i="22"/>
  <c r="AQ50" i="22" s="1"/>
  <c r="AF51" i="22"/>
  <c r="AE51" i="22"/>
  <c r="AD51" i="22"/>
  <c r="AC51" i="22"/>
  <c r="AB51" i="22"/>
  <c r="X51" i="22"/>
  <c r="L51" i="22"/>
  <c r="J51" i="22"/>
  <c r="H51" i="22"/>
  <c r="H50" i="22" s="1"/>
  <c r="L50" i="22"/>
  <c r="I50" i="22"/>
  <c r="BU48" i="22"/>
  <c r="BH48" i="22"/>
  <c r="BD48" i="22"/>
  <c r="BB48" i="22"/>
  <c r="AN48" i="22"/>
  <c r="BG48" i="22" s="1"/>
  <c r="AA48" i="22" s="1"/>
  <c r="AM48" i="22"/>
  <c r="BF48" i="22" s="1"/>
  <c r="Z48" i="22" s="1"/>
  <c r="AJ48" i="22"/>
  <c r="AS47" i="22" s="1"/>
  <c r="AH48" i="22"/>
  <c r="AQ47" i="22" s="1"/>
  <c r="AF48" i="22"/>
  <c r="AE48" i="22"/>
  <c r="AD48" i="22"/>
  <c r="AC48" i="22"/>
  <c r="AB48" i="22"/>
  <c r="X48" i="22"/>
  <c r="L48" i="22"/>
  <c r="J48" i="22"/>
  <c r="J47" i="22" s="1"/>
  <c r="L47" i="22"/>
  <c r="BU45" i="22"/>
  <c r="BH45" i="22"/>
  <c r="BD45" i="22"/>
  <c r="BB45" i="22"/>
  <c r="AU45" i="22"/>
  <c r="AN45" i="22"/>
  <c r="I45" i="22" s="1"/>
  <c r="AM45" i="22"/>
  <c r="BF45" i="22" s="1"/>
  <c r="Z45" i="22" s="1"/>
  <c r="AJ45" i="22"/>
  <c r="AH45" i="22"/>
  <c r="AF45" i="22"/>
  <c r="AE45" i="22"/>
  <c r="AD45" i="22"/>
  <c r="AC45" i="22"/>
  <c r="AB45" i="22"/>
  <c r="X45" i="22"/>
  <c r="L45" i="22"/>
  <c r="J45" i="22"/>
  <c r="AI45" i="22" s="1"/>
  <c r="H45" i="22"/>
  <c r="BU43" i="22"/>
  <c r="BH43" i="22"/>
  <c r="BB43" i="22"/>
  <c r="AV43" i="22"/>
  <c r="AN43" i="22"/>
  <c r="BG43" i="22" s="1"/>
  <c r="AA43" i="22" s="1"/>
  <c r="AM43" i="22"/>
  <c r="H43" i="22" s="1"/>
  <c r="AJ43" i="22"/>
  <c r="AH43" i="22"/>
  <c r="AF43" i="22"/>
  <c r="AE43" i="22"/>
  <c r="AD43" i="22"/>
  <c r="AC43" i="22"/>
  <c r="AB43" i="22"/>
  <c r="X43" i="22"/>
  <c r="L43" i="22"/>
  <c r="BD43" i="22" s="1"/>
  <c r="J43" i="22"/>
  <c r="AI43" i="22" s="1"/>
  <c r="I43" i="22"/>
  <c r="BU41" i="22"/>
  <c r="BH41" i="22"/>
  <c r="BD41" i="22"/>
  <c r="BB41" i="22"/>
  <c r="AN41" i="22"/>
  <c r="AV41" i="22" s="1"/>
  <c r="AM41" i="22"/>
  <c r="BF41" i="22" s="1"/>
  <c r="AJ41" i="22"/>
  <c r="AH41" i="22"/>
  <c r="AF41" i="22"/>
  <c r="AE41" i="22"/>
  <c r="AD41" i="22"/>
  <c r="AC41" i="22"/>
  <c r="AB41" i="22"/>
  <c r="Z41" i="22"/>
  <c r="X41" i="22"/>
  <c r="L41" i="22"/>
  <c r="J41" i="22"/>
  <c r="I41" i="22"/>
  <c r="I40" i="22" s="1"/>
  <c r="H41" i="22"/>
  <c r="H40" i="22" s="1"/>
  <c r="L40" i="22"/>
  <c r="BU38" i="22"/>
  <c r="BH38" i="22"/>
  <c r="BB38" i="22"/>
  <c r="AU38" i="22"/>
  <c r="AN38" i="22"/>
  <c r="I38" i="22" s="1"/>
  <c r="AM38" i="22"/>
  <c r="BF38" i="22" s="1"/>
  <c r="Z38" i="22" s="1"/>
  <c r="AJ38" i="22"/>
  <c r="AH38" i="22"/>
  <c r="AF38" i="22"/>
  <c r="AE38" i="22"/>
  <c r="AD38" i="22"/>
  <c r="AC38" i="22"/>
  <c r="AB38" i="22"/>
  <c r="X38" i="22"/>
  <c r="L38" i="22"/>
  <c r="BD38" i="22" s="1"/>
  <c r="J38" i="22"/>
  <c r="AI38" i="22" s="1"/>
  <c r="H38" i="22"/>
  <c r="BU36" i="22"/>
  <c r="BH36" i="22"/>
  <c r="BB36" i="22"/>
  <c r="AN36" i="22"/>
  <c r="BG36" i="22" s="1"/>
  <c r="AM36" i="22"/>
  <c r="H36" i="22" s="1"/>
  <c r="AJ36" i="22"/>
  <c r="AH36" i="22"/>
  <c r="AF36" i="22"/>
  <c r="AE36" i="22"/>
  <c r="AD36" i="22"/>
  <c r="AC36" i="22"/>
  <c r="AB36" i="22"/>
  <c r="AA36" i="22"/>
  <c r="X36" i="22"/>
  <c r="L36" i="22"/>
  <c r="BD36" i="22" s="1"/>
  <c r="J36" i="22"/>
  <c r="AI36" i="22" s="1"/>
  <c r="I36" i="22"/>
  <c r="BU34" i="22"/>
  <c r="BH34" i="22"/>
  <c r="BG34" i="22"/>
  <c r="BB34" i="22"/>
  <c r="AN34" i="22"/>
  <c r="AV34" i="22" s="1"/>
  <c r="AM34" i="22"/>
  <c r="BF34" i="22" s="1"/>
  <c r="Z34" i="22" s="1"/>
  <c r="AJ34" i="22"/>
  <c r="AS31" i="22" s="1"/>
  <c r="AH34" i="22"/>
  <c r="AF34" i="22"/>
  <c r="AE34" i="22"/>
  <c r="AD34" i="22"/>
  <c r="AC34" i="22"/>
  <c r="AB34" i="22"/>
  <c r="AA34" i="22"/>
  <c r="X34" i="22"/>
  <c r="L34" i="22"/>
  <c r="BD34" i="22" s="1"/>
  <c r="J34" i="22"/>
  <c r="AI34" i="22" s="1"/>
  <c r="H34" i="22"/>
  <c r="BU32" i="22"/>
  <c r="BH32" i="22"/>
  <c r="BB32" i="22"/>
  <c r="AN32" i="22"/>
  <c r="BG32" i="22" s="1"/>
  <c r="AA32" i="22" s="1"/>
  <c r="AM32" i="22"/>
  <c r="H32" i="22" s="1"/>
  <c r="AJ32" i="22"/>
  <c r="AH32" i="22"/>
  <c r="AQ31" i="22" s="1"/>
  <c r="AF32" i="22"/>
  <c r="AE32" i="22"/>
  <c r="AD32" i="22"/>
  <c r="AC32" i="22"/>
  <c r="AB32" i="22"/>
  <c r="X32" i="22"/>
  <c r="L32" i="22"/>
  <c r="L31" i="22" s="1"/>
  <c r="J32" i="22"/>
  <c r="AI32" i="22" s="1"/>
  <c r="BU29" i="22"/>
  <c r="BH29" i="22"/>
  <c r="BB29" i="22"/>
  <c r="AN29" i="22"/>
  <c r="BG29" i="22" s="1"/>
  <c r="AA29" i="22" s="1"/>
  <c r="AM29" i="22"/>
  <c r="AU29" i="22" s="1"/>
  <c r="AJ29" i="22"/>
  <c r="AH29" i="22"/>
  <c r="AF29" i="22"/>
  <c r="AE29" i="22"/>
  <c r="AD29" i="22"/>
  <c r="AC29" i="22"/>
  <c r="AB29" i="22"/>
  <c r="X29" i="22"/>
  <c r="L29" i="22"/>
  <c r="BD29" i="22" s="1"/>
  <c r="J29" i="22"/>
  <c r="AI29" i="22" s="1"/>
  <c r="I29" i="22"/>
  <c r="BU27" i="22"/>
  <c r="BH27" i="22"/>
  <c r="BD27" i="22"/>
  <c r="BB27" i="22"/>
  <c r="AN27" i="22"/>
  <c r="I27" i="22" s="1"/>
  <c r="AM27" i="22"/>
  <c r="BF27" i="22" s="1"/>
  <c r="Z27" i="22" s="1"/>
  <c r="AJ27" i="22"/>
  <c r="AS26" i="22" s="1"/>
  <c r="AH27" i="22"/>
  <c r="AF27" i="22"/>
  <c r="AE27" i="22"/>
  <c r="AD27" i="22"/>
  <c r="AC27" i="22"/>
  <c r="AB27" i="22"/>
  <c r="X27" i="22"/>
  <c r="L27" i="22"/>
  <c r="J27" i="22"/>
  <c r="AI27" i="22" s="1"/>
  <c r="BU24" i="22"/>
  <c r="BH24" i="22"/>
  <c r="BD24" i="22"/>
  <c r="BB24" i="22"/>
  <c r="AU24" i="22"/>
  <c r="AN24" i="22"/>
  <c r="AV24" i="22" s="1"/>
  <c r="BA24" i="22" s="1"/>
  <c r="AM24" i="22"/>
  <c r="BF24" i="22" s="1"/>
  <c r="Z24" i="22" s="1"/>
  <c r="AJ24" i="22"/>
  <c r="AH24" i="22"/>
  <c r="AF24" i="22"/>
  <c r="AE24" i="22"/>
  <c r="AD24" i="22"/>
  <c r="AC24" i="22"/>
  <c r="AB24" i="22"/>
  <c r="X24" i="22"/>
  <c r="L24" i="22"/>
  <c r="J24" i="22"/>
  <c r="AI24" i="22" s="1"/>
  <c r="H24" i="22"/>
  <c r="BU22" i="22"/>
  <c r="BH22" i="22"/>
  <c r="BB22" i="22"/>
  <c r="AV22" i="22"/>
  <c r="AN22" i="22"/>
  <c r="BG22" i="22" s="1"/>
  <c r="AA22" i="22" s="1"/>
  <c r="AM22" i="22"/>
  <c r="AU22" i="22" s="1"/>
  <c r="AJ22" i="22"/>
  <c r="AI22" i="22"/>
  <c r="AH22" i="22"/>
  <c r="AF22" i="22"/>
  <c r="AE22" i="22"/>
  <c r="AD22" i="22"/>
  <c r="AC22" i="22"/>
  <c r="AB22" i="22"/>
  <c r="X22" i="22"/>
  <c r="L22" i="22"/>
  <c r="BD22" i="22" s="1"/>
  <c r="J22" i="22"/>
  <c r="BU20" i="22"/>
  <c r="BH20" i="22"/>
  <c r="BD20" i="22"/>
  <c r="BB20" i="22"/>
  <c r="AU20" i="22"/>
  <c r="AN20" i="22"/>
  <c r="I20" i="22" s="1"/>
  <c r="AM20" i="22"/>
  <c r="BF20" i="22" s="1"/>
  <c r="Z20" i="22" s="1"/>
  <c r="AJ20" i="22"/>
  <c r="AH20" i="22"/>
  <c r="AF20" i="22"/>
  <c r="AE20" i="22"/>
  <c r="AD20" i="22"/>
  <c r="AC20" i="22"/>
  <c r="AB20" i="22"/>
  <c r="X20" i="22"/>
  <c r="L20" i="22"/>
  <c r="J20" i="22"/>
  <c r="AI20" i="22" s="1"/>
  <c r="H20" i="22"/>
  <c r="BU18" i="22"/>
  <c r="BH18" i="22"/>
  <c r="BB18" i="22"/>
  <c r="AV18" i="22"/>
  <c r="AN18" i="22"/>
  <c r="BG18" i="22" s="1"/>
  <c r="AA18" i="22" s="1"/>
  <c r="AM18" i="22"/>
  <c r="H18" i="22" s="1"/>
  <c r="AJ18" i="22"/>
  <c r="AI18" i="22"/>
  <c r="AH18" i="22"/>
  <c r="AF18" i="22"/>
  <c r="AE18" i="22"/>
  <c r="AD18" i="22"/>
  <c r="AC18" i="22"/>
  <c r="AB18" i="22"/>
  <c r="X18" i="22"/>
  <c r="L18" i="22"/>
  <c r="L17" i="22" s="1"/>
  <c r="J18" i="22"/>
  <c r="AQ17" i="22"/>
  <c r="BU15" i="22"/>
  <c r="BH15" i="22"/>
  <c r="BB15" i="22"/>
  <c r="AN15" i="22"/>
  <c r="BG15" i="22" s="1"/>
  <c r="AA15" i="22" s="1"/>
  <c r="AM15" i="22"/>
  <c r="AU15" i="22" s="1"/>
  <c r="AJ15" i="22"/>
  <c r="AH15" i="22"/>
  <c r="AF15" i="22"/>
  <c r="AE15" i="22"/>
  <c r="AD15" i="22"/>
  <c r="AC15" i="22"/>
  <c r="AB15" i="22"/>
  <c r="X15" i="22"/>
  <c r="L15" i="22"/>
  <c r="BD15" i="22" s="1"/>
  <c r="J15" i="22"/>
  <c r="AI15" i="22" s="1"/>
  <c r="BU13" i="22"/>
  <c r="BH13" i="22"/>
  <c r="BD13" i="22"/>
  <c r="BB13" i="22"/>
  <c r="AN13" i="22"/>
  <c r="I13" i="22" s="1"/>
  <c r="AM13" i="22"/>
  <c r="BF13" i="22" s="1"/>
  <c r="Z13" i="22" s="1"/>
  <c r="AJ13" i="22"/>
  <c r="AS12" i="22" s="1"/>
  <c r="AH13" i="22"/>
  <c r="AF13" i="22"/>
  <c r="AE13" i="22"/>
  <c r="AD13" i="22"/>
  <c r="AC13" i="22"/>
  <c r="AB13" i="22"/>
  <c r="X13" i="22"/>
  <c r="L13" i="22"/>
  <c r="J13" i="22"/>
  <c r="AI13" i="22" s="1"/>
  <c r="AS1" i="22"/>
  <c r="AR1" i="22"/>
  <c r="AQ1" i="22"/>
  <c r="BU105" i="21"/>
  <c r="BH105" i="21"/>
  <c r="X105" i="21" s="1"/>
  <c r="BB105" i="21"/>
  <c r="AU105" i="21"/>
  <c r="AN105" i="21"/>
  <c r="BG105" i="21" s="1"/>
  <c r="AM105" i="21"/>
  <c r="BF105" i="21" s="1"/>
  <c r="AJ105" i="21"/>
  <c r="AH105" i="21"/>
  <c r="AQ104" i="21" s="1"/>
  <c r="AF105" i="21"/>
  <c r="AE105" i="21"/>
  <c r="AD105" i="21"/>
  <c r="AC105" i="21"/>
  <c r="AB105" i="21"/>
  <c r="AA105" i="21"/>
  <c r="Z105" i="21"/>
  <c r="L105" i="21"/>
  <c r="BD105" i="21" s="1"/>
  <c r="J105" i="21"/>
  <c r="I105" i="21"/>
  <c r="I104" i="21" s="1"/>
  <c r="AS104" i="21"/>
  <c r="BU103" i="21"/>
  <c r="BH103" i="21"/>
  <c r="X103" i="21" s="1"/>
  <c r="BB103" i="21"/>
  <c r="AU103" i="21"/>
  <c r="AN103" i="21"/>
  <c r="BG103" i="21" s="1"/>
  <c r="AM103" i="21"/>
  <c r="BF103" i="21" s="1"/>
  <c r="AJ103" i="21"/>
  <c r="AH103" i="21"/>
  <c r="AF103" i="21"/>
  <c r="AE103" i="21"/>
  <c r="AD103" i="21"/>
  <c r="AC103" i="21"/>
  <c r="AB103" i="21"/>
  <c r="AA103" i="21"/>
  <c r="Z103" i="21"/>
  <c r="L103" i="21"/>
  <c r="BD103" i="21" s="1"/>
  <c r="J103" i="21"/>
  <c r="BU102" i="21"/>
  <c r="BH102" i="21"/>
  <c r="X102" i="21" s="1"/>
  <c r="BD102" i="21"/>
  <c r="BB102" i="21"/>
  <c r="AN102" i="21"/>
  <c r="BG102" i="21" s="1"/>
  <c r="AM102" i="21"/>
  <c r="BF102" i="21" s="1"/>
  <c r="AJ102" i="21"/>
  <c r="AH102" i="21"/>
  <c r="AF102" i="21"/>
  <c r="AE102" i="21"/>
  <c r="AD102" i="21"/>
  <c r="AC102" i="21"/>
  <c r="AB102" i="21"/>
  <c r="AA102" i="21"/>
  <c r="Z102" i="21"/>
  <c r="L102" i="21"/>
  <c r="L101" i="21" s="1"/>
  <c r="J102" i="21"/>
  <c r="AI102" i="21" s="1"/>
  <c r="AS101" i="21"/>
  <c r="BU99" i="21"/>
  <c r="BH99" i="21"/>
  <c r="X99" i="21" s="1"/>
  <c r="BB99" i="21"/>
  <c r="AN99" i="21"/>
  <c r="BG99" i="21" s="1"/>
  <c r="AM99" i="21"/>
  <c r="BF99" i="21" s="1"/>
  <c r="AJ99" i="21"/>
  <c r="AH99" i="21"/>
  <c r="AF99" i="21"/>
  <c r="AE99" i="21"/>
  <c r="AD99" i="21"/>
  <c r="AC99" i="21"/>
  <c r="AB99" i="21"/>
  <c r="AA99" i="21"/>
  <c r="Z99" i="21"/>
  <c r="L99" i="21"/>
  <c r="BD99" i="21" s="1"/>
  <c r="J99" i="21"/>
  <c r="AI99" i="21" s="1"/>
  <c r="I99" i="21"/>
  <c r="BU98" i="21"/>
  <c r="BH98" i="21"/>
  <c r="X98" i="21" s="1"/>
  <c r="BB98" i="21"/>
  <c r="AN98" i="21"/>
  <c r="BG98" i="21" s="1"/>
  <c r="AM98" i="21"/>
  <c r="BF98" i="21" s="1"/>
  <c r="AJ98" i="21"/>
  <c r="AH98" i="21"/>
  <c r="AF98" i="21"/>
  <c r="AE98" i="21"/>
  <c r="AD98" i="21"/>
  <c r="AC98" i="21"/>
  <c r="AB98" i="21"/>
  <c r="AA98" i="21"/>
  <c r="Z98" i="21"/>
  <c r="L98" i="21"/>
  <c r="BD98" i="21" s="1"/>
  <c r="J98" i="21"/>
  <c r="H98" i="21"/>
  <c r="BU97" i="21"/>
  <c r="BH97" i="21"/>
  <c r="X97" i="21" s="1"/>
  <c r="BB97" i="21"/>
  <c r="AN97" i="21"/>
  <c r="BG97" i="21" s="1"/>
  <c r="AM97" i="21"/>
  <c r="BF97" i="21" s="1"/>
  <c r="AJ97" i="21"/>
  <c r="AH97" i="21"/>
  <c r="AF97" i="21"/>
  <c r="AE97" i="21"/>
  <c r="AD97" i="21"/>
  <c r="AC97" i="21"/>
  <c r="AB97" i="21"/>
  <c r="AA97" i="21"/>
  <c r="Z97" i="21"/>
  <c r="L97" i="21"/>
  <c r="BD97" i="21" s="1"/>
  <c r="J97" i="21"/>
  <c r="I97" i="21"/>
  <c r="BU95" i="21"/>
  <c r="BH95" i="21"/>
  <c r="X95" i="21" s="1"/>
  <c r="BB95" i="21"/>
  <c r="AN95" i="21"/>
  <c r="BG95" i="21" s="1"/>
  <c r="AM95" i="21"/>
  <c r="BF95" i="21" s="1"/>
  <c r="AJ95" i="21"/>
  <c r="AH95" i="21"/>
  <c r="AF95" i="21"/>
  <c r="AE95" i="21"/>
  <c r="AD95" i="21"/>
  <c r="AC95" i="21"/>
  <c r="AB95" i="21"/>
  <c r="AA95" i="21"/>
  <c r="Z95" i="21"/>
  <c r="L95" i="21"/>
  <c r="BD95" i="21" s="1"/>
  <c r="J95" i="21"/>
  <c r="AI95" i="21" s="1"/>
  <c r="I95" i="21"/>
  <c r="H95" i="21"/>
  <c r="BU93" i="21"/>
  <c r="BH93" i="21"/>
  <c r="X93" i="21" s="1"/>
  <c r="BB93" i="21"/>
  <c r="AN93" i="21"/>
  <c r="BG93" i="21" s="1"/>
  <c r="AM93" i="21"/>
  <c r="BF93" i="21" s="1"/>
  <c r="AJ93" i="21"/>
  <c r="AH93" i="21"/>
  <c r="AF93" i="21"/>
  <c r="AE93" i="21"/>
  <c r="AD93" i="21"/>
  <c r="AC93" i="21"/>
  <c r="AB93" i="21"/>
  <c r="AA93" i="21"/>
  <c r="Z93" i="21"/>
  <c r="L93" i="21"/>
  <c r="BD93" i="21" s="1"/>
  <c r="J93" i="21"/>
  <c r="AI93" i="21" s="1"/>
  <c r="H93" i="21"/>
  <c r="BU92" i="21"/>
  <c r="BH92" i="21"/>
  <c r="X92" i="21" s="1"/>
  <c r="BB92" i="21"/>
  <c r="AN92" i="21"/>
  <c r="BG92" i="21" s="1"/>
  <c r="AM92" i="21"/>
  <c r="BF92" i="21" s="1"/>
  <c r="AJ92" i="21"/>
  <c r="AS91" i="21" s="1"/>
  <c r="AH92" i="21"/>
  <c r="AF92" i="21"/>
  <c r="AE92" i="21"/>
  <c r="AD92" i="21"/>
  <c r="AC92" i="21"/>
  <c r="AB92" i="21"/>
  <c r="AA92" i="21"/>
  <c r="Z92" i="21"/>
  <c r="L92" i="21"/>
  <c r="BD92" i="21" s="1"/>
  <c r="J92" i="21"/>
  <c r="H92" i="21"/>
  <c r="AQ91" i="21"/>
  <c r="BU89" i="21"/>
  <c r="BH89" i="21"/>
  <c r="BB89" i="21"/>
  <c r="AN89" i="21"/>
  <c r="BG89" i="21" s="1"/>
  <c r="AA89" i="21" s="1"/>
  <c r="AM89" i="21"/>
  <c r="BF89" i="21" s="1"/>
  <c r="AJ89" i="21"/>
  <c r="AS88" i="21" s="1"/>
  <c r="AH89" i="21"/>
  <c r="AF89" i="21"/>
  <c r="AE89" i="21"/>
  <c r="AD89" i="21"/>
  <c r="AC89" i="21"/>
  <c r="AB89" i="21"/>
  <c r="Z89" i="21"/>
  <c r="X89" i="21"/>
  <c r="L89" i="21"/>
  <c r="BD89" i="21" s="1"/>
  <c r="J89" i="21"/>
  <c r="H89" i="21"/>
  <c r="H88" i="21" s="1"/>
  <c r="AQ88" i="21"/>
  <c r="L88" i="21"/>
  <c r="BU86" i="21"/>
  <c r="BH86" i="21"/>
  <c r="BD86" i="21"/>
  <c r="BB86" i="21"/>
  <c r="AN86" i="21"/>
  <c r="BG86" i="21" s="1"/>
  <c r="AA86" i="21" s="1"/>
  <c r="AM86" i="21"/>
  <c r="BF86" i="21" s="1"/>
  <c r="Z86" i="21" s="1"/>
  <c r="AJ86" i="21"/>
  <c r="AH86" i="21"/>
  <c r="AF86" i="21"/>
  <c r="AE86" i="21"/>
  <c r="AD86" i="21"/>
  <c r="AC86" i="21"/>
  <c r="AB86" i="21"/>
  <c r="X86" i="21"/>
  <c r="L86" i="21"/>
  <c r="J86" i="21"/>
  <c r="I86" i="21"/>
  <c r="H86" i="21"/>
  <c r="BU84" i="21"/>
  <c r="BH84" i="21"/>
  <c r="BB84" i="21"/>
  <c r="AN84" i="21"/>
  <c r="BG84" i="21" s="1"/>
  <c r="AA84" i="21" s="1"/>
  <c r="AM84" i="21"/>
  <c r="BF84" i="21" s="1"/>
  <c r="AJ84" i="21"/>
  <c r="AH84" i="21"/>
  <c r="AQ83" i="21" s="1"/>
  <c r="AF84" i="21"/>
  <c r="AE84" i="21"/>
  <c r="AD84" i="21"/>
  <c r="AC84" i="21"/>
  <c r="AB84" i="21"/>
  <c r="Z84" i="21"/>
  <c r="X84" i="21"/>
  <c r="L84" i="21"/>
  <c r="BD84" i="21" s="1"/>
  <c r="J84" i="21"/>
  <c r="AI84" i="21" s="1"/>
  <c r="I84" i="21"/>
  <c r="L83" i="21"/>
  <c r="BU81" i="21"/>
  <c r="BH81" i="21"/>
  <c r="BB81" i="21"/>
  <c r="AN81" i="21"/>
  <c r="BG81" i="21" s="1"/>
  <c r="AA81" i="21" s="1"/>
  <c r="AM81" i="21"/>
  <c r="BF81" i="21" s="1"/>
  <c r="AJ81" i="21"/>
  <c r="AS80" i="21" s="1"/>
  <c r="AH81" i="21"/>
  <c r="AF81" i="21"/>
  <c r="AE81" i="21"/>
  <c r="AD81" i="21"/>
  <c r="AC81" i="21"/>
  <c r="AB81" i="21"/>
  <c r="Z81" i="21"/>
  <c r="X81" i="21"/>
  <c r="L81" i="21"/>
  <c r="BD81" i="21" s="1"/>
  <c r="J81" i="21"/>
  <c r="H81" i="21"/>
  <c r="H80" i="21" s="1"/>
  <c r="AQ80" i="21"/>
  <c r="BU78" i="21"/>
  <c r="BH78" i="21"/>
  <c r="BB78" i="21"/>
  <c r="AN78" i="21"/>
  <c r="BG78" i="21" s="1"/>
  <c r="AC78" i="21" s="1"/>
  <c r="AM78" i="21"/>
  <c r="BF78" i="21" s="1"/>
  <c r="AB78" i="21" s="1"/>
  <c r="AJ78" i="21"/>
  <c r="AS77" i="21" s="1"/>
  <c r="AH78" i="21"/>
  <c r="AF78" i="21"/>
  <c r="AE78" i="21"/>
  <c r="AD78" i="21"/>
  <c r="AA78" i="21"/>
  <c r="Z78" i="21"/>
  <c r="X78" i="21"/>
  <c r="L78" i="21"/>
  <c r="BD78" i="21" s="1"/>
  <c r="J78" i="21"/>
  <c r="J77" i="21" s="1"/>
  <c r="AQ77" i="21"/>
  <c r="BU75" i="21"/>
  <c r="BH75" i="21"/>
  <c r="BB75" i="21"/>
  <c r="AV75" i="21"/>
  <c r="AN75" i="21"/>
  <c r="BG75" i="21" s="1"/>
  <c r="AA75" i="21" s="1"/>
  <c r="AM75" i="21"/>
  <c r="BF75" i="21" s="1"/>
  <c r="AJ75" i="21"/>
  <c r="AH75" i="21"/>
  <c r="AQ74" i="21" s="1"/>
  <c r="AF75" i="21"/>
  <c r="AE75" i="21"/>
  <c r="AD75" i="21"/>
  <c r="AC75" i="21"/>
  <c r="AB75" i="21"/>
  <c r="Z75" i="21"/>
  <c r="X75" i="21"/>
  <c r="L75" i="21"/>
  <c r="BD75" i="21" s="1"/>
  <c r="J75" i="21"/>
  <c r="AS74" i="21"/>
  <c r="L74" i="21"/>
  <c r="BU72" i="21"/>
  <c r="BH72" i="21"/>
  <c r="BB72" i="21"/>
  <c r="AN72" i="21"/>
  <c r="BG72" i="21" s="1"/>
  <c r="AA72" i="21" s="1"/>
  <c r="AM72" i="21"/>
  <c r="BF72" i="21" s="1"/>
  <c r="AJ72" i="21"/>
  <c r="AH72" i="21"/>
  <c r="AF72" i="21"/>
  <c r="AE72" i="21"/>
  <c r="AD72" i="21"/>
  <c r="AC72" i="21"/>
  <c r="AB72" i="21"/>
  <c r="Z72" i="21"/>
  <c r="X72" i="21"/>
  <c r="L72" i="21"/>
  <c r="BD72" i="21" s="1"/>
  <c r="J72" i="21"/>
  <c r="I72" i="21"/>
  <c r="BU70" i="21"/>
  <c r="BH70" i="21"/>
  <c r="BB70" i="21"/>
  <c r="AN70" i="21"/>
  <c r="BG70" i="21" s="1"/>
  <c r="AA70" i="21" s="1"/>
  <c r="AM70" i="21"/>
  <c r="BF70" i="21" s="1"/>
  <c r="Z70" i="21" s="1"/>
  <c r="AJ70" i="21"/>
  <c r="AH70" i="21"/>
  <c r="AF70" i="21"/>
  <c r="AE70" i="21"/>
  <c r="AD70" i="21"/>
  <c r="AC70" i="21"/>
  <c r="AB70" i="21"/>
  <c r="X70" i="21"/>
  <c r="L70" i="21"/>
  <c r="BD70" i="21" s="1"/>
  <c r="J70" i="21"/>
  <c r="I70" i="21"/>
  <c r="H70" i="21"/>
  <c r="BU68" i="21"/>
  <c r="BH68" i="21"/>
  <c r="BB68" i="21"/>
  <c r="AN68" i="21"/>
  <c r="BG68" i="21" s="1"/>
  <c r="AA68" i="21" s="1"/>
  <c r="AM68" i="21"/>
  <c r="BF68" i="21" s="1"/>
  <c r="Z68" i="21" s="1"/>
  <c r="AJ68" i="21"/>
  <c r="AH68" i="21"/>
  <c r="AF68" i="21"/>
  <c r="AE68" i="21"/>
  <c r="AD68" i="21"/>
  <c r="AC68" i="21"/>
  <c r="AB68" i="21"/>
  <c r="X68" i="21"/>
  <c r="L68" i="21"/>
  <c r="BD68" i="21" s="1"/>
  <c r="J68" i="21"/>
  <c r="AI68" i="21" s="1"/>
  <c r="H68" i="21"/>
  <c r="BU66" i="21"/>
  <c r="BH66" i="21"/>
  <c r="BB66" i="21"/>
  <c r="AN66" i="21"/>
  <c r="BG66" i="21" s="1"/>
  <c r="AA66" i="21" s="1"/>
  <c r="AM66" i="21"/>
  <c r="BF66" i="21" s="1"/>
  <c r="Z66" i="21" s="1"/>
  <c r="AJ66" i="21"/>
  <c r="AH66" i="21"/>
  <c r="AF66" i="21"/>
  <c r="AE66" i="21"/>
  <c r="AD66" i="21"/>
  <c r="AC66" i="21"/>
  <c r="AB66" i="21"/>
  <c r="X66" i="21"/>
  <c r="L66" i="21"/>
  <c r="BD66" i="21" s="1"/>
  <c r="J66" i="21"/>
  <c r="AI66" i="21" s="1"/>
  <c r="AQ65" i="21"/>
  <c r="BU63" i="21"/>
  <c r="BH63" i="21"/>
  <c r="BB63" i="21"/>
  <c r="AU63" i="21"/>
  <c r="AN63" i="21"/>
  <c r="BG63" i="21" s="1"/>
  <c r="AA63" i="21" s="1"/>
  <c r="AM63" i="21"/>
  <c r="BF63" i="21" s="1"/>
  <c r="Z63" i="21" s="1"/>
  <c r="AJ63" i="21"/>
  <c r="AI63" i="21"/>
  <c r="AR62" i="21" s="1"/>
  <c r="AH63" i="21"/>
  <c r="AQ62" i="21" s="1"/>
  <c r="AF63" i="21"/>
  <c r="AE63" i="21"/>
  <c r="AD63" i="21"/>
  <c r="AC63" i="21"/>
  <c r="AB63" i="21"/>
  <c r="X63" i="21"/>
  <c r="L63" i="21"/>
  <c r="BD63" i="21" s="1"/>
  <c r="J63" i="21"/>
  <c r="H63" i="21"/>
  <c r="H62" i="21" s="1"/>
  <c r="AS62" i="21"/>
  <c r="J62" i="21"/>
  <c r="BU60" i="21"/>
  <c r="BH60" i="21"/>
  <c r="BB60" i="21"/>
  <c r="AN60" i="21"/>
  <c r="BG60" i="21" s="1"/>
  <c r="AA60" i="21" s="1"/>
  <c r="AM60" i="21"/>
  <c r="BF60" i="21" s="1"/>
  <c r="Z60" i="21" s="1"/>
  <c r="AJ60" i="21"/>
  <c r="AI60" i="21"/>
  <c r="AR59" i="21" s="1"/>
  <c r="AH60" i="21"/>
  <c r="AF60" i="21"/>
  <c r="AE60" i="21"/>
  <c r="AD60" i="21"/>
  <c r="AC60" i="21"/>
  <c r="AB60" i="21"/>
  <c r="X60" i="21"/>
  <c r="L60" i="21"/>
  <c r="BD60" i="21" s="1"/>
  <c r="J60" i="21"/>
  <c r="I60" i="21"/>
  <c r="AS59" i="21"/>
  <c r="AQ59" i="21"/>
  <c r="J59" i="21"/>
  <c r="I59" i="21"/>
  <c r="BU57" i="21"/>
  <c r="BH57" i="21"/>
  <c r="BB57" i="21"/>
  <c r="AN57" i="21"/>
  <c r="BG57" i="21" s="1"/>
  <c r="AA57" i="21" s="1"/>
  <c r="AM57" i="21"/>
  <c r="BF57" i="21" s="1"/>
  <c r="Z57" i="21" s="1"/>
  <c r="AJ57" i="21"/>
  <c r="AS56" i="21" s="1"/>
  <c r="AH57" i="21"/>
  <c r="AQ56" i="21" s="1"/>
  <c r="AF57" i="21"/>
  <c r="AE57" i="21"/>
  <c r="AD57" i="21"/>
  <c r="AC57" i="21"/>
  <c r="AB57" i="21"/>
  <c r="X57" i="21"/>
  <c r="L57" i="21"/>
  <c r="BD57" i="21" s="1"/>
  <c r="J57" i="21"/>
  <c r="AI57" i="21" s="1"/>
  <c r="AR56" i="21" s="1"/>
  <c r="H57" i="21"/>
  <c r="H56" i="21" s="1"/>
  <c r="L56" i="21"/>
  <c r="J56" i="21"/>
  <c r="BU54" i="21"/>
  <c r="BH54" i="21"/>
  <c r="BB54" i="21"/>
  <c r="AV54" i="21"/>
  <c r="AN54" i="21"/>
  <c r="BG54" i="21" s="1"/>
  <c r="AA54" i="21" s="1"/>
  <c r="AM54" i="21"/>
  <c r="BF54" i="21" s="1"/>
  <c r="Z54" i="21" s="1"/>
  <c r="AJ54" i="21"/>
  <c r="AH54" i="21"/>
  <c r="AF54" i="21"/>
  <c r="AE54" i="21"/>
  <c r="AD54" i="21"/>
  <c r="AC54" i="21"/>
  <c r="AB54" i="21"/>
  <c r="X54" i="21"/>
  <c r="L54" i="21"/>
  <c r="BD54" i="21" s="1"/>
  <c r="J54" i="21"/>
  <c r="AI54" i="21" s="1"/>
  <c r="H54" i="21"/>
  <c r="BU52" i="21"/>
  <c r="BH52" i="21"/>
  <c r="BB52" i="21"/>
  <c r="AV52" i="21"/>
  <c r="AN52" i="21"/>
  <c r="BG52" i="21" s="1"/>
  <c r="AA52" i="21" s="1"/>
  <c r="AM52" i="21"/>
  <c r="BF52" i="21" s="1"/>
  <c r="Z52" i="21" s="1"/>
  <c r="AJ52" i="21"/>
  <c r="AH52" i="21"/>
  <c r="AF52" i="21"/>
  <c r="AE52" i="21"/>
  <c r="AD52" i="21"/>
  <c r="AC52" i="21"/>
  <c r="AB52" i="21"/>
  <c r="X52" i="21"/>
  <c r="L52" i="21"/>
  <c r="BD52" i="21" s="1"/>
  <c r="J52" i="21"/>
  <c r="I52" i="21"/>
  <c r="H52" i="21"/>
  <c r="BU50" i="21"/>
  <c r="BH50" i="21"/>
  <c r="BB50" i="21"/>
  <c r="AV50" i="21"/>
  <c r="AN50" i="21"/>
  <c r="BG50" i="21" s="1"/>
  <c r="AA50" i="21" s="1"/>
  <c r="AM50" i="21"/>
  <c r="BF50" i="21" s="1"/>
  <c r="Z50" i="21" s="1"/>
  <c r="AJ50" i="21"/>
  <c r="AS49" i="21" s="1"/>
  <c r="AH50" i="21"/>
  <c r="AF50" i="21"/>
  <c r="AE50" i="21"/>
  <c r="AD50" i="21"/>
  <c r="AC50" i="21"/>
  <c r="AB50" i="21"/>
  <c r="X50" i="21"/>
  <c r="L50" i="21"/>
  <c r="BD50" i="21" s="1"/>
  <c r="J50" i="21"/>
  <c r="AI50" i="21" s="1"/>
  <c r="AQ49" i="21"/>
  <c r="BU47" i="21"/>
  <c r="BH47" i="21"/>
  <c r="BD47" i="21"/>
  <c r="BB47" i="21"/>
  <c r="AN47" i="21"/>
  <c r="BG47" i="21" s="1"/>
  <c r="AA47" i="21" s="1"/>
  <c r="AM47" i="21"/>
  <c r="BF47" i="21" s="1"/>
  <c r="Z47" i="21" s="1"/>
  <c r="AJ47" i="21"/>
  <c r="AH47" i="21"/>
  <c r="AF47" i="21"/>
  <c r="AE47" i="21"/>
  <c r="AD47" i="21"/>
  <c r="AC47" i="21"/>
  <c r="AB47" i="21"/>
  <c r="X47" i="21"/>
  <c r="L47" i="21"/>
  <c r="J47" i="21"/>
  <c r="I47" i="21"/>
  <c r="H47" i="21"/>
  <c r="BU45" i="21"/>
  <c r="BH45" i="21"/>
  <c r="BB45" i="21"/>
  <c r="AU45" i="21"/>
  <c r="AN45" i="21"/>
  <c r="BG45" i="21" s="1"/>
  <c r="AA45" i="21" s="1"/>
  <c r="AM45" i="21"/>
  <c r="BF45" i="21" s="1"/>
  <c r="AJ45" i="21"/>
  <c r="AH45" i="21"/>
  <c r="AF45" i="21"/>
  <c r="AE45" i="21"/>
  <c r="AD45" i="21"/>
  <c r="AC45" i="21"/>
  <c r="AB45" i="21"/>
  <c r="Z45" i="21"/>
  <c r="X45" i="21"/>
  <c r="L45" i="21"/>
  <c r="BD45" i="21" s="1"/>
  <c r="J45" i="21"/>
  <c r="J40" i="21" s="1"/>
  <c r="H45" i="21"/>
  <c r="BU43" i="21"/>
  <c r="BH43" i="21"/>
  <c r="BB43" i="21"/>
  <c r="AV43" i="21"/>
  <c r="AN43" i="21"/>
  <c r="BG43" i="21" s="1"/>
  <c r="AA43" i="21" s="1"/>
  <c r="AM43" i="21"/>
  <c r="BF43" i="21" s="1"/>
  <c r="AJ43" i="21"/>
  <c r="AH43" i="21"/>
  <c r="AF43" i="21"/>
  <c r="AE43" i="21"/>
  <c r="AD43" i="21"/>
  <c r="AC43" i="21"/>
  <c r="AB43" i="21"/>
  <c r="Z43" i="21"/>
  <c r="X43" i="21"/>
  <c r="L43" i="21"/>
  <c r="BD43" i="21" s="1"/>
  <c r="J43" i="21"/>
  <c r="AI43" i="21" s="1"/>
  <c r="I43" i="21"/>
  <c r="BU41" i="21"/>
  <c r="BH41" i="21"/>
  <c r="BB41" i="21"/>
  <c r="AV41" i="21"/>
  <c r="AN41" i="21"/>
  <c r="BG41" i="21" s="1"/>
  <c r="AA41" i="21" s="1"/>
  <c r="AM41" i="21"/>
  <c r="BF41" i="21" s="1"/>
  <c r="Z41" i="21" s="1"/>
  <c r="AJ41" i="21"/>
  <c r="AI41" i="21"/>
  <c r="AH41" i="21"/>
  <c r="AF41" i="21"/>
  <c r="AE41" i="21"/>
  <c r="AD41" i="21"/>
  <c r="AC41" i="21"/>
  <c r="AB41" i="21"/>
  <c r="X41" i="21"/>
  <c r="L41" i="21"/>
  <c r="L40" i="21" s="1"/>
  <c r="J41" i="21"/>
  <c r="I41" i="21"/>
  <c r="H41" i="21"/>
  <c r="AS40" i="21"/>
  <c r="BU38" i="21"/>
  <c r="BH38" i="21"/>
  <c r="BB38" i="21"/>
  <c r="AV38" i="21"/>
  <c r="AN38" i="21"/>
  <c r="BG38" i="21" s="1"/>
  <c r="AA38" i="21" s="1"/>
  <c r="AM38" i="21"/>
  <c r="BF38" i="21" s="1"/>
  <c r="AJ38" i="21"/>
  <c r="AH38" i="21"/>
  <c r="AF38" i="21"/>
  <c r="AE38" i="21"/>
  <c r="AD38" i="21"/>
  <c r="AC38" i="21"/>
  <c r="AB38" i="21"/>
  <c r="Z38" i="21"/>
  <c r="X38" i="21"/>
  <c r="L38" i="21"/>
  <c r="BD38" i="21" s="1"/>
  <c r="J38" i="21"/>
  <c r="AI38" i="21" s="1"/>
  <c r="I38" i="21"/>
  <c r="H38" i="21"/>
  <c r="BU36" i="21"/>
  <c r="BH36" i="21"/>
  <c r="BD36" i="21"/>
  <c r="BB36" i="21"/>
  <c r="AV36" i="21"/>
  <c r="AN36" i="21"/>
  <c r="BG36" i="21" s="1"/>
  <c r="AM36" i="21"/>
  <c r="BF36" i="21" s="1"/>
  <c r="Z36" i="21" s="1"/>
  <c r="AJ36" i="21"/>
  <c r="AS35" i="21" s="1"/>
  <c r="AH36" i="21"/>
  <c r="AF36" i="21"/>
  <c r="AE36" i="21"/>
  <c r="AD36" i="21"/>
  <c r="AC36" i="21"/>
  <c r="AB36" i="21"/>
  <c r="AA36" i="21"/>
  <c r="X36" i="21"/>
  <c r="L36" i="21"/>
  <c r="J36" i="21"/>
  <c r="AI36" i="21" s="1"/>
  <c r="AR35" i="21" s="1"/>
  <c r="I36" i="21"/>
  <c r="H36" i="21"/>
  <c r="H35" i="21" s="1"/>
  <c r="I35" i="21"/>
  <c r="BU33" i="21"/>
  <c r="BH33" i="21"/>
  <c r="BD33" i="21"/>
  <c r="BB33" i="21"/>
  <c r="AN33" i="21"/>
  <c r="BG33" i="21" s="1"/>
  <c r="AM33" i="21"/>
  <c r="BF33" i="21" s="1"/>
  <c r="Z33" i="21" s="1"/>
  <c r="AJ33" i="21"/>
  <c r="AH33" i="21"/>
  <c r="AF33" i="21"/>
  <c r="AE33" i="21"/>
  <c r="AD33" i="21"/>
  <c r="AC33" i="21"/>
  <c r="AB33" i="21"/>
  <c r="AA33" i="21"/>
  <c r="X33" i="21"/>
  <c r="L33" i="21"/>
  <c r="J33" i="21"/>
  <c r="I33" i="21"/>
  <c r="BU31" i="21"/>
  <c r="BH31" i="21"/>
  <c r="BD31" i="21"/>
  <c r="BB31" i="21"/>
  <c r="AN31" i="21"/>
  <c r="BG31" i="21" s="1"/>
  <c r="AA31" i="21" s="1"/>
  <c r="AM31" i="21"/>
  <c r="BF31" i="21" s="1"/>
  <c r="Z31" i="21" s="1"/>
  <c r="AJ31" i="21"/>
  <c r="AH31" i="21"/>
  <c r="AF31" i="21"/>
  <c r="AE31" i="21"/>
  <c r="AD31" i="21"/>
  <c r="AC31" i="21"/>
  <c r="AB31" i="21"/>
  <c r="X31" i="21"/>
  <c r="L31" i="21"/>
  <c r="J31" i="21"/>
  <c r="I31" i="21"/>
  <c r="H31" i="21"/>
  <c r="BU29" i="21"/>
  <c r="BH29" i="21"/>
  <c r="BB29" i="21"/>
  <c r="AN29" i="21"/>
  <c r="BG29" i="21" s="1"/>
  <c r="AA29" i="21" s="1"/>
  <c r="AM29" i="21"/>
  <c r="BF29" i="21" s="1"/>
  <c r="Z29" i="21" s="1"/>
  <c r="AJ29" i="21"/>
  <c r="AH29" i="21"/>
  <c r="AF29" i="21"/>
  <c r="AE29" i="21"/>
  <c r="AD29" i="21"/>
  <c r="AC29" i="21"/>
  <c r="AB29" i="21"/>
  <c r="X29" i="21"/>
  <c r="L29" i="21"/>
  <c r="L26" i="21" s="1"/>
  <c r="J29" i="21"/>
  <c r="AI29" i="21" s="1"/>
  <c r="I29" i="21"/>
  <c r="H29" i="21"/>
  <c r="BU27" i="21"/>
  <c r="BH27" i="21"/>
  <c r="BB27" i="21"/>
  <c r="AU27" i="21"/>
  <c r="AN27" i="21"/>
  <c r="BG27" i="21" s="1"/>
  <c r="AA27" i="21" s="1"/>
  <c r="AM27" i="21"/>
  <c r="BF27" i="21" s="1"/>
  <c r="Z27" i="21" s="1"/>
  <c r="AJ27" i="21"/>
  <c r="AH27" i="21"/>
  <c r="AF27" i="21"/>
  <c r="AE27" i="21"/>
  <c r="AD27" i="21"/>
  <c r="AC27" i="21"/>
  <c r="AB27" i="21"/>
  <c r="X27" i="21"/>
  <c r="L27" i="21"/>
  <c r="BD27" i="21" s="1"/>
  <c r="J27" i="21"/>
  <c r="AI27" i="21" s="1"/>
  <c r="I27" i="21"/>
  <c r="H27" i="21"/>
  <c r="AQ26" i="21"/>
  <c r="BU24" i="21"/>
  <c r="BH24" i="21"/>
  <c r="BB24" i="21"/>
  <c r="AU24" i="21"/>
  <c r="AN24" i="21"/>
  <c r="BG24" i="21" s="1"/>
  <c r="AA24" i="21" s="1"/>
  <c r="AM24" i="21"/>
  <c r="BF24" i="21" s="1"/>
  <c r="Z24" i="21" s="1"/>
  <c r="AJ24" i="21"/>
  <c r="AH24" i="21"/>
  <c r="AF24" i="21"/>
  <c r="AE24" i="21"/>
  <c r="AD24" i="21"/>
  <c r="AC24" i="21"/>
  <c r="AB24" i="21"/>
  <c r="X24" i="21"/>
  <c r="L24" i="21"/>
  <c r="L23" i="21" s="1"/>
  <c r="J24" i="21"/>
  <c r="J23" i="21" s="1"/>
  <c r="I24" i="21"/>
  <c r="H24" i="21"/>
  <c r="AS23" i="21"/>
  <c r="AQ23" i="21"/>
  <c r="I23" i="21"/>
  <c r="H23" i="21"/>
  <c r="BU21" i="21"/>
  <c r="BH21" i="21"/>
  <c r="BD21" i="21"/>
  <c r="BB21" i="21"/>
  <c r="AN21" i="21"/>
  <c r="BG21" i="21" s="1"/>
  <c r="AA21" i="21" s="1"/>
  <c r="AM21" i="21"/>
  <c r="BF21" i="21" s="1"/>
  <c r="Z21" i="21" s="1"/>
  <c r="AJ21" i="21"/>
  <c r="AH21" i="21"/>
  <c r="AF21" i="21"/>
  <c r="AE21" i="21"/>
  <c r="AD21" i="21"/>
  <c r="AC21" i="21"/>
  <c r="AB21" i="21"/>
  <c r="X21" i="21"/>
  <c r="L21" i="21"/>
  <c r="J21" i="21"/>
  <c r="AI21" i="21" s="1"/>
  <c r="I21" i="21"/>
  <c r="H21" i="21"/>
  <c r="BU19" i="21"/>
  <c r="BH19" i="21"/>
  <c r="BB19" i="21"/>
  <c r="AU19" i="21"/>
  <c r="AN19" i="21"/>
  <c r="BG19" i="21" s="1"/>
  <c r="AA19" i="21" s="1"/>
  <c r="AM19" i="21"/>
  <c r="BF19" i="21" s="1"/>
  <c r="Z19" i="21" s="1"/>
  <c r="AJ19" i="21"/>
  <c r="AH19" i="21"/>
  <c r="AF19" i="21"/>
  <c r="AE19" i="21"/>
  <c r="AD19" i="21"/>
  <c r="AC19" i="21"/>
  <c r="AB19" i="21"/>
  <c r="X19" i="21"/>
  <c r="L19" i="21"/>
  <c r="BD19" i="21" s="1"/>
  <c r="J19" i="21"/>
  <c r="AI19" i="21" s="1"/>
  <c r="I19" i="21"/>
  <c r="H19" i="21"/>
  <c r="BU17" i="21"/>
  <c r="BH17" i="21"/>
  <c r="BB17" i="21"/>
  <c r="AN17" i="21"/>
  <c r="BG17" i="21" s="1"/>
  <c r="AA17" i="21" s="1"/>
  <c r="AM17" i="21"/>
  <c r="BF17" i="21" s="1"/>
  <c r="Z17" i="21" s="1"/>
  <c r="AJ17" i="21"/>
  <c r="AH17" i="21"/>
  <c r="AF17" i="21"/>
  <c r="AE17" i="21"/>
  <c r="AD17" i="21"/>
  <c r="AC17" i="21"/>
  <c r="AB17" i="21"/>
  <c r="X17" i="21"/>
  <c r="L17" i="21"/>
  <c r="BD17" i="21" s="1"/>
  <c r="J17" i="21"/>
  <c r="I17" i="21"/>
  <c r="H17" i="21"/>
  <c r="BU15" i="21"/>
  <c r="BH15" i="21"/>
  <c r="BD15" i="21"/>
  <c r="BB15" i="21"/>
  <c r="AN15" i="21"/>
  <c r="BG15" i="21" s="1"/>
  <c r="AA15" i="21" s="1"/>
  <c r="AM15" i="21"/>
  <c r="BF15" i="21" s="1"/>
  <c r="Z15" i="21" s="1"/>
  <c r="AJ15" i="21"/>
  <c r="AH15" i="21"/>
  <c r="AF15" i="21"/>
  <c r="AE15" i="21"/>
  <c r="AD15" i="21"/>
  <c r="AC15" i="21"/>
  <c r="AB15" i="21"/>
  <c r="X15" i="21"/>
  <c r="L15" i="21"/>
  <c r="J15" i="21"/>
  <c r="I15" i="21"/>
  <c r="H15" i="21"/>
  <c r="BU13" i="21"/>
  <c r="BH13" i="21"/>
  <c r="BD13" i="21"/>
  <c r="BB13" i="21"/>
  <c r="AN13" i="21"/>
  <c r="BG13" i="21" s="1"/>
  <c r="AA13" i="21" s="1"/>
  <c r="AM13" i="21"/>
  <c r="BF13" i="21" s="1"/>
  <c r="Z13" i="21" s="1"/>
  <c r="AJ13" i="21"/>
  <c r="AH13" i="21"/>
  <c r="AF13" i="21"/>
  <c r="AE13" i="21"/>
  <c r="AD13" i="21"/>
  <c r="AC13" i="21"/>
  <c r="AB13" i="21"/>
  <c r="X13" i="21"/>
  <c r="L13" i="21"/>
  <c r="L12" i="21" s="1"/>
  <c r="J13" i="21"/>
  <c r="AI13" i="21" s="1"/>
  <c r="I13" i="21"/>
  <c r="H13" i="21"/>
  <c r="H12" i="21" s="1"/>
  <c r="AS1" i="21"/>
  <c r="AR1" i="21"/>
  <c r="AQ1" i="21"/>
  <c r="BU101" i="20"/>
  <c r="BH101" i="20"/>
  <c r="BB101" i="20"/>
  <c r="AN101" i="20"/>
  <c r="BG101" i="20" s="1"/>
  <c r="AM101" i="20"/>
  <c r="BF101" i="20" s="1"/>
  <c r="AJ101" i="20"/>
  <c r="AH101" i="20"/>
  <c r="AQ100" i="20" s="1"/>
  <c r="AF101" i="20"/>
  <c r="AE101" i="20"/>
  <c r="AD101" i="20"/>
  <c r="AC101" i="20"/>
  <c r="AB101" i="20"/>
  <c r="AA101" i="20"/>
  <c r="Z101" i="20"/>
  <c r="X101" i="20"/>
  <c r="L101" i="20"/>
  <c r="BD101" i="20" s="1"/>
  <c r="J101" i="20"/>
  <c r="AI101" i="20" s="1"/>
  <c r="AR100" i="20" s="1"/>
  <c r="AS100" i="20"/>
  <c r="L100" i="20"/>
  <c r="J100" i="20"/>
  <c r="BU99" i="20"/>
  <c r="BH99" i="20"/>
  <c r="X99" i="20" s="1"/>
  <c r="BD99" i="20"/>
  <c r="BB99" i="20"/>
  <c r="AN99" i="20"/>
  <c r="BG99" i="20" s="1"/>
  <c r="AM99" i="20"/>
  <c r="BF99" i="20" s="1"/>
  <c r="AJ99" i="20"/>
  <c r="AH99" i="20"/>
  <c r="AF99" i="20"/>
  <c r="AE99" i="20"/>
  <c r="AD99" i="20"/>
  <c r="AC99" i="20"/>
  <c r="AB99" i="20"/>
  <c r="AA99" i="20"/>
  <c r="Z99" i="20"/>
  <c r="L99" i="20"/>
  <c r="J99" i="20"/>
  <c r="BU98" i="20"/>
  <c r="BH98" i="20"/>
  <c r="X98" i="20" s="1"/>
  <c r="BB98" i="20"/>
  <c r="AN98" i="20"/>
  <c r="BG98" i="20" s="1"/>
  <c r="AM98" i="20"/>
  <c r="BF98" i="20" s="1"/>
  <c r="AJ98" i="20"/>
  <c r="AH98" i="20"/>
  <c r="AF98" i="20"/>
  <c r="AE98" i="20"/>
  <c r="AD98" i="20"/>
  <c r="AC98" i="20"/>
  <c r="AB98" i="20"/>
  <c r="AA98" i="20"/>
  <c r="Z98" i="20"/>
  <c r="L98" i="20"/>
  <c r="BD98" i="20" s="1"/>
  <c r="J98" i="20"/>
  <c r="AI98" i="20" s="1"/>
  <c r="I98" i="20"/>
  <c r="AQ97" i="20"/>
  <c r="L97" i="20"/>
  <c r="BU96" i="20"/>
  <c r="BH96" i="20"/>
  <c r="BB96" i="20"/>
  <c r="AV96" i="20"/>
  <c r="AN96" i="20"/>
  <c r="BG96" i="20" s="1"/>
  <c r="AM96" i="20"/>
  <c r="AJ96" i="20"/>
  <c r="AH96" i="20"/>
  <c r="AF96" i="20"/>
  <c r="AE96" i="20"/>
  <c r="AD96" i="20"/>
  <c r="AC96" i="20"/>
  <c r="AB96" i="20"/>
  <c r="AA96" i="20"/>
  <c r="Z96" i="20"/>
  <c r="X96" i="20"/>
  <c r="L96" i="20"/>
  <c r="BD96" i="20" s="1"/>
  <c r="J96" i="20"/>
  <c r="AI96" i="20" s="1"/>
  <c r="I96" i="20"/>
  <c r="BU94" i="20"/>
  <c r="BH94" i="20"/>
  <c r="BD94" i="20"/>
  <c r="BB94" i="20"/>
  <c r="AU94" i="20"/>
  <c r="AN94" i="20"/>
  <c r="BG94" i="20" s="1"/>
  <c r="AM94" i="20"/>
  <c r="BF94" i="20" s="1"/>
  <c r="AJ94" i="20"/>
  <c r="AS90" i="20" s="1"/>
  <c r="AH94" i="20"/>
  <c r="AF94" i="20"/>
  <c r="AE94" i="20"/>
  <c r="AD94" i="20"/>
  <c r="AC94" i="20"/>
  <c r="AB94" i="20"/>
  <c r="AA94" i="20"/>
  <c r="Z94" i="20"/>
  <c r="X94" i="20"/>
  <c r="L94" i="20"/>
  <c r="J94" i="20"/>
  <c r="AI94" i="20" s="1"/>
  <c r="I94" i="20"/>
  <c r="H94" i="20"/>
  <c r="BU92" i="20"/>
  <c r="BH92" i="20"/>
  <c r="X92" i="20" s="1"/>
  <c r="BB92" i="20"/>
  <c r="AN92" i="20"/>
  <c r="BG92" i="20" s="1"/>
  <c r="AM92" i="20"/>
  <c r="BF92" i="20" s="1"/>
  <c r="AJ92" i="20"/>
  <c r="AI92" i="20"/>
  <c r="AH92" i="20"/>
  <c r="AF92" i="20"/>
  <c r="AE92" i="20"/>
  <c r="AD92" i="20"/>
  <c r="AC92" i="20"/>
  <c r="AB92" i="20"/>
  <c r="AA92" i="20"/>
  <c r="Z92" i="20"/>
  <c r="L92" i="20"/>
  <c r="BD92" i="20" s="1"/>
  <c r="J92" i="20"/>
  <c r="H92" i="20"/>
  <c r="BU91" i="20"/>
  <c r="BH91" i="20"/>
  <c r="BB91" i="20"/>
  <c r="AU91" i="20"/>
  <c r="AN91" i="20"/>
  <c r="AM91" i="20"/>
  <c r="BF91" i="20" s="1"/>
  <c r="AJ91" i="20"/>
  <c r="AH91" i="20"/>
  <c r="AF91" i="20"/>
  <c r="AE91" i="20"/>
  <c r="AD91" i="20"/>
  <c r="AC91" i="20"/>
  <c r="AB91" i="20"/>
  <c r="AA91" i="20"/>
  <c r="Z91" i="20"/>
  <c r="X91" i="20"/>
  <c r="L91" i="20"/>
  <c r="BD91" i="20" s="1"/>
  <c r="J91" i="20"/>
  <c r="J90" i="20" s="1"/>
  <c r="L90" i="20"/>
  <c r="BU88" i="20"/>
  <c r="BH88" i="20"/>
  <c r="BD88" i="20"/>
  <c r="BB88" i="20"/>
  <c r="AV88" i="20"/>
  <c r="AN88" i="20"/>
  <c r="BG88" i="20" s="1"/>
  <c r="AM88" i="20"/>
  <c r="BF88" i="20" s="1"/>
  <c r="Z88" i="20" s="1"/>
  <c r="AJ88" i="20"/>
  <c r="AS87" i="20" s="1"/>
  <c r="AH88" i="20"/>
  <c r="AF88" i="20"/>
  <c r="AE88" i="20"/>
  <c r="AD88" i="20"/>
  <c r="AC88" i="20"/>
  <c r="AB88" i="20"/>
  <c r="AA88" i="20"/>
  <c r="X88" i="20"/>
  <c r="L88" i="20"/>
  <c r="L87" i="20" s="1"/>
  <c r="J88" i="20"/>
  <c r="I88" i="20"/>
  <c r="I87" i="20" s="1"/>
  <c r="H88" i="20"/>
  <c r="H87" i="20" s="1"/>
  <c r="AQ87" i="20"/>
  <c r="BU85" i="20"/>
  <c r="BH85" i="20"/>
  <c r="BB85" i="20"/>
  <c r="AU85" i="20"/>
  <c r="AN85" i="20"/>
  <c r="AM85" i="20"/>
  <c r="BF85" i="20" s="1"/>
  <c r="Z85" i="20" s="1"/>
  <c r="AJ85" i="20"/>
  <c r="AH85" i="20"/>
  <c r="AF85" i="20"/>
  <c r="AE85" i="20"/>
  <c r="AD85" i="20"/>
  <c r="AC85" i="20"/>
  <c r="AB85" i="20"/>
  <c r="X85" i="20"/>
  <c r="L85" i="20"/>
  <c r="BD85" i="20" s="1"/>
  <c r="J85" i="20"/>
  <c r="AI85" i="20" s="1"/>
  <c r="H85" i="20"/>
  <c r="BU83" i="20"/>
  <c r="BH83" i="20"/>
  <c r="BB83" i="20"/>
  <c r="AV83" i="20"/>
  <c r="AN83" i="20"/>
  <c r="BG83" i="20" s="1"/>
  <c r="AA83" i="20" s="1"/>
  <c r="AM83" i="20"/>
  <c r="AJ83" i="20"/>
  <c r="AS82" i="20" s="1"/>
  <c r="AH83" i="20"/>
  <c r="AF83" i="20"/>
  <c r="AE83" i="20"/>
  <c r="AD83" i="20"/>
  <c r="AC83" i="20"/>
  <c r="AB83" i="20"/>
  <c r="X83" i="20"/>
  <c r="L83" i="20"/>
  <c r="J83" i="20"/>
  <c r="AI83" i="20" s="1"/>
  <c r="AR82" i="20" s="1"/>
  <c r="I83" i="20"/>
  <c r="BU80" i="20"/>
  <c r="BH80" i="20"/>
  <c r="BB80" i="20"/>
  <c r="AN80" i="20"/>
  <c r="BG80" i="20" s="1"/>
  <c r="AA80" i="20" s="1"/>
  <c r="AM80" i="20"/>
  <c r="BF80" i="20" s="1"/>
  <c r="Z80" i="20" s="1"/>
  <c r="AJ80" i="20"/>
  <c r="AI80" i="20"/>
  <c r="AR79" i="20" s="1"/>
  <c r="AH80" i="20"/>
  <c r="AQ79" i="20" s="1"/>
  <c r="AF80" i="20"/>
  <c r="AE80" i="20"/>
  <c r="AD80" i="20"/>
  <c r="AC80" i="20"/>
  <c r="AB80" i="20"/>
  <c r="X80" i="20"/>
  <c r="L80" i="20"/>
  <c r="L79" i="20" s="1"/>
  <c r="J80" i="20"/>
  <c r="J79" i="20" s="1"/>
  <c r="H80" i="20"/>
  <c r="H79" i="20" s="1"/>
  <c r="AS79" i="20"/>
  <c r="BU77" i="20"/>
  <c r="BH77" i="20"/>
  <c r="BB77" i="20"/>
  <c r="AN77" i="20"/>
  <c r="BG77" i="20" s="1"/>
  <c r="AA77" i="20" s="1"/>
  <c r="AM77" i="20"/>
  <c r="AJ77" i="20"/>
  <c r="AH77" i="20"/>
  <c r="AF77" i="20"/>
  <c r="AE77" i="20"/>
  <c r="AD77" i="20"/>
  <c r="AC77" i="20"/>
  <c r="AB77" i="20"/>
  <c r="X77" i="20"/>
  <c r="L77" i="20"/>
  <c r="BD77" i="20" s="1"/>
  <c r="J77" i="20"/>
  <c r="AI77" i="20" s="1"/>
  <c r="I77" i="20"/>
  <c r="BU75" i="20"/>
  <c r="BH75" i="20"/>
  <c r="BD75" i="20"/>
  <c r="BB75" i="20"/>
  <c r="AU75" i="20"/>
  <c r="AN75" i="20"/>
  <c r="BG75" i="20" s="1"/>
  <c r="AA75" i="20" s="1"/>
  <c r="AM75" i="20"/>
  <c r="BF75" i="20" s="1"/>
  <c r="Z75" i="20" s="1"/>
  <c r="AJ75" i="20"/>
  <c r="AS70" i="20" s="1"/>
  <c r="AH75" i="20"/>
  <c r="AF75" i="20"/>
  <c r="AE75" i="20"/>
  <c r="AD75" i="20"/>
  <c r="AC75" i="20"/>
  <c r="AB75" i="20"/>
  <c r="X75" i="20"/>
  <c r="L75" i="20"/>
  <c r="J75" i="20"/>
  <c r="AI75" i="20" s="1"/>
  <c r="H75" i="20"/>
  <c r="BU73" i="20"/>
  <c r="BH73" i="20"/>
  <c r="BB73" i="20"/>
  <c r="AN73" i="20"/>
  <c r="BG73" i="20" s="1"/>
  <c r="AA73" i="20" s="1"/>
  <c r="AM73" i="20"/>
  <c r="BF73" i="20" s="1"/>
  <c r="Z73" i="20" s="1"/>
  <c r="AJ73" i="20"/>
  <c r="AH73" i="20"/>
  <c r="AF73" i="20"/>
  <c r="AE73" i="20"/>
  <c r="AD73" i="20"/>
  <c r="AC73" i="20"/>
  <c r="AB73" i="20"/>
  <c r="X73" i="20"/>
  <c r="L73" i="20"/>
  <c r="BD73" i="20" s="1"/>
  <c r="J73" i="20"/>
  <c r="AI73" i="20" s="1"/>
  <c r="BU71" i="20"/>
  <c r="BH71" i="20"/>
  <c r="BB71" i="20"/>
  <c r="AN71" i="20"/>
  <c r="AM71" i="20"/>
  <c r="BF71" i="20" s="1"/>
  <c r="Z71" i="20" s="1"/>
  <c r="AJ71" i="20"/>
  <c r="AH71" i="20"/>
  <c r="AF71" i="20"/>
  <c r="AE71" i="20"/>
  <c r="AD71" i="20"/>
  <c r="AC71" i="20"/>
  <c r="AB71" i="20"/>
  <c r="X71" i="20"/>
  <c r="L71" i="20"/>
  <c r="BD71" i="20" s="1"/>
  <c r="J71" i="20"/>
  <c r="L70" i="20"/>
  <c r="BU68" i="20"/>
  <c r="BH68" i="20"/>
  <c r="BD68" i="20"/>
  <c r="BB68" i="20"/>
  <c r="AN68" i="20"/>
  <c r="BG68" i="20" s="1"/>
  <c r="AM68" i="20"/>
  <c r="BF68" i="20" s="1"/>
  <c r="Z68" i="20" s="1"/>
  <c r="AJ68" i="20"/>
  <c r="AS67" i="20" s="1"/>
  <c r="AH68" i="20"/>
  <c r="AF68" i="20"/>
  <c r="AE68" i="20"/>
  <c r="AD68" i="20"/>
  <c r="AC68" i="20"/>
  <c r="AB68" i="20"/>
  <c r="AA68" i="20"/>
  <c r="X68" i="20"/>
  <c r="L68" i="20"/>
  <c r="L67" i="20" s="1"/>
  <c r="J68" i="20"/>
  <c r="I68" i="20"/>
  <c r="I67" i="20" s="1"/>
  <c r="AQ67" i="20"/>
  <c r="BU65" i="20"/>
  <c r="BH65" i="20"/>
  <c r="BB65" i="20"/>
  <c r="AU65" i="20"/>
  <c r="AN65" i="20"/>
  <c r="AM65" i="20"/>
  <c r="BF65" i="20" s="1"/>
  <c r="Z65" i="20" s="1"/>
  <c r="AJ65" i="20"/>
  <c r="AH65" i="20"/>
  <c r="AQ64" i="20" s="1"/>
  <c r="AF65" i="20"/>
  <c r="AE65" i="20"/>
  <c r="AD65" i="20"/>
  <c r="AC65" i="20"/>
  <c r="AB65" i="20"/>
  <c r="X65" i="20"/>
  <c r="L65" i="20"/>
  <c r="BD65" i="20" s="1"/>
  <c r="J65" i="20"/>
  <c r="J64" i="20" s="1"/>
  <c r="H65" i="20"/>
  <c r="H64" i="20" s="1"/>
  <c r="AS64" i="20"/>
  <c r="L64" i="20"/>
  <c r="BU62" i="20"/>
  <c r="BH62" i="20"/>
  <c r="BD62" i="20"/>
  <c r="BB62" i="20"/>
  <c r="AU62" i="20"/>
  <c r="AN62" i="20"/>
  <c r="BG62" i="20" s="1"/>
  <c r="AA62" i="20" s="1"/>
  <c r="AM62" i="20"/>
  <c r="BF62" i="20" s="1"/>
  <c r="Z62" i="20" s="1"/>
  <c r="AJ62" i="20"/>
  <c r="AS61" i="20" s="1"/>
  <c r="AH62" i="20"/>
  <c r="AF62" i="20"/>
  <c r="AE62" i="20"/>
  <c r="AD62" i="20"/>
  <c r="AC62" i="20"/>
  <c r="AB62" i="20"/>
  <c r="X62" i="20"/>
  <c r="L62" i="20"/>
  <c r="J62" i="20"/>
  <c r="H62" i="20"/>
  <c r="AQ61" i="20"/>
  <c r="L61" i="20"/>
  <c r="H61" i="20"/>
  <c r="BU59" i="20"/>
  <c r="BH59" i="20"/>
  <c r="BB59" i="20"/>
  <c r="AN59" i="20"/>
  <c r="AM59" i="20"/>
  <c r="BF59" i="20" s="1"/>
  <c r="Z59" i="20" s="1"/>
  <c r="AJ59" i="20"/>
  <c r="AS58" i="20" s="1"/>
  <c r="AH59" i="20"/>
  <c r="AQ58" i="20" s="1"/>
  <c r="AF59" i="20"/>
  <c r="AE59" i="20"/>
  <c r="AD59" i="20"/>
  <c r="AC59" i="20"/>
  <c r="AB59" i="20"/>
  <c r="X59" i="20"/>
  <c r="L59" i="20"/>
  <c r="BD59" i="20" s="1"/>
  <c r="J59" i="20"/>
  <c r="J58" i="20" s="1"/>
  <c r="L58" i="20"/>
  <c r="BU56" i="20"/>
  <c r="BH56" i="20"/>
  <c r="BD56" i="20"/>
  <c r="BB56" i="20"/>
  <c r="AN56" i="20"/>
  <c r="BG56" i="20" s="1"/>
  <c r="AA56" i="20" s="1"/>
  <c r="AM56" i="20"/>
  <c r="BF56" i="20" s="1"/>
  <c r="Z56" i="20" s="1"/>
  <c r="AJ56" i="20"/>
  <c r="AH56" i="20"/>
  <c r="AF56" i="20"/>
  <c r="AE56" i="20"/>
  <c r="AD56" i="20"/>
  <c r="AC56" i="20"/>
  <c r="AB56" i="20"/>
  <c r="X56" i="20"/>
  <c r="L56" i="20"/>
  <c r="J56" i="20"/>
  <c r="AI56" i="20" s="1"/>
  <c r="I56" i="20"/>
  <c r="H56" i="20"/>
  <c r="BU54" i="20"/>
  <c r="BH54" i="20"/>
  <c r="BB54" i="20"/>
  <c r="AN54" i="20"/>
  <c r="BG54" i="20" s="1"/>
  <c r="AA54" i="20" s="1"/>
  <c r="AM54" i="20"/>
  <c r="BF54" i="20" s="1"/>
  <c r="AJ54" i="20"/>
  <c r="AI54" i="20"/>
  <c r="AH54" i="20"/>
  <c r="AF54" i="20"/>
  <c r="AE54" i="20"/>
  <c r="AD54" i="20"/>
  <c r="AC54" i="20"/>
  <c r="AB54" i="20"/>
  <c r="Z54" i="20"/>
  <c r="X54" i="20"/>
  <c r="L54" i="20"/>
  <c r="BD54" i="20" s="1"/>
  <c r="J54" i="20"/>
  <c r="H54" i="20"/>
  <c r="BU52" i="20"/>
  <c r="BH52" i="20"/>
  <c r="BB52" i="20"/>
  <c r="AU52" i="20"/>
  <c r="AN52" i="20"/>
  <c r="AM52" i="20"/>
  <c r="BF52" i="20" s="1"/>
  <c r="Z52" i="20" s="1"/>
  <c r="AJ52" i="20"/>
  <c r="AH52" i="20"/>
  <c r="AF52" i="20"/>
  <c r="AE52" i="20"/>
  <c r="AD52" i="20"/>
  <c r="AC52" i="20"/>
  <c r="AB52" i="20"/>
  <c r="X52" i="20"/>
  <c r="L52" i="20"/>
  <c r="BD52" i="20" s="1"/>
  <c r="J52" i="20"/>
  <c r="H52" i="20"/>
  <c r="H51" i="20" s="1"/>
  <c r="L51" i="20"/>
  <c r="BU49" i="20"/>
  <c r="BH49" i="20"/>
  <c r="BB49" i="20"/>
  <c r="AN49" i="20"/>
  <c r="I49" i="20" s="1"/>
  <c r="AM49" i="20"/>
  <c r="BF49" i="20" s="1"/>
  <c r="Z49" i="20" s="1"/>
  <c r="AJ49" i="20"/>
  <c r="AH49" i="20"/>
  <c r="AF49" i="20"/>
  <c r="AE49" i="20"/>
  <c r="AD49" i="20"/>
  <c r="AC49" i="20"/>
  <c r="AB49" i="20"/>
  <c r="X49" i="20"/>
  <c r="L49" i="20"/>
  <c r="BD49" i="20" s="1"/>
  <c r="J49" i="20"/>
  <c r="AI49" i="20" s="1"/>
  <c r="BU47" i="20"/>
  <c r="BH47" i="20"/>
  <c r="BD47" i="20"/>
  <c r="BB47" i="20"/>
  <c r="AU47" i="20"/>
  <c r="AN47" i="20"/>
  <c r="BG47" i="20" s="1"/>
  <c r="AA47" i="20" s="1"/>
  <c r="AM47" i="20"/>
  <c r="BF47" i="20" s="1"/>
  <c r="Z47" i="20" s="1"/>
  <c r="AJ47" i="20"/>
  <c r="AH47" i="20"/>
  <c r="AF47" i="20"/>
  <c r="AE47" i="20"/>
  <c r="AD47" i="20"/>
  <c r="AC47" i="20"/>
  <c r="AB47" i="20"/>
  <c r="X47" i="20"/>
  <c r="L47" i="20"/>
  <c r="J47" i="20"/>
  <c r="AI47" i="20" s="1"/>
  <c r="H47" i="20"/>
  <c r="BU45" i="20"/>
  <c r="BH45" i="20"/>
  <c r="BB45" i="20"/>
  <c r="AV45" i="20"/>
  <c r="AN45" i="20"/>
  <c r="BG45" i="20" s="1"/>
  <c r="AA45" i="20" s="1"/>
  <c r="AM45" i="20"/>
  <c r="AU45" i="20" s="1"/>
  <c r="AJ45" i="20"/>
  <c r="AI45" i="20"/>
  <c r="AH45" i="20"/>
  <c r="AF45" i="20"/>
  <c r="AE45" i="20"/>
  <c r="AD45" i="20"/>
  <c r="AC45" i="20"/>
  <c r="AB45" i="20"/>
  <c r="X45" i="20"/>
  <c r="L45" i="20"/>
  <c r="BD45" i="20" s="1"/>
  <c r="J45" i="20"/>
  <c r="I45" i="20"/>
  <c r="BU43" i="20"/>
  <c r="BH43" i="20"/>
  <c r="BD43" i="20"/>
  <c r="BB43" i="20"/>
  <c r="AU43" i="20"/>
  <c r="AN43" i="20"/>
  <c r="I43" i="20" s="1"/>
  <c r="AM43" i="20"/>
  <c r="BF43" i="20" s="1"/>
  <c r="Z43" i="20" s="1"/>
  <c r="AJ43" i="20"/>
  <c r="AH43" i="20"/>
  <c r="AF43" i="20"/>
  <c r="AE43" i="20"/>
  <c r="AD43" i="20"/>
  <c r="AC43" i="20"/>
  <c r="AB43" i="20"/>
  <c r="X43" i="20"/>
  <c r="L43" i="20"/>
  <c r="J43" i="20"/>
  <c r="AI43" i="20" s="1"/>
  <c r="H43" i="20"/>
  <c r="BU41" i="20"/>
  <c r="BH41" i="20"/>
  <c r="BB41" i="20"/>
  <c r="AV41" i="20"/>
  <c r="AN41" i="20"/>
  <c r="BG41" i="20" s="1"/>
  <c r="AA41" i="20" s="1"/>
  <c r="AM41" i="20"/>
  <c r="H41" i="20" s="1"/>
  <c r="AJ41" i="20"/>
  <c r="AI41" i="20"/>
  <c r="AH41" i="20"/>
  <c r="AF41" i="20"/>
  <c r="AE41" i="20"/>
  <c r="AD41" i="20"/>
  <c r="AC41" i="20"/>
  <c r="AB41" i="20"/>
  <c r="X41" i="20"/>
  <c r="L41" i="20"/>
  <c r="BD41" i="20" s="1"/>
  <c r="J41" i="20"/>
  <c r="BU39" i="20"/>
  <c r="BH39" i="20"/>
  <c r="BD39" i="20"/>
  <c r="BB39" i="20"/>
  <c r="AU39" i="20"/>
  <c r="AN39" i="20"/>
  <c r="AV39" i="20" s="1"/>
  <c r="AM39" i="20"/>
  <c r="BF39" i="20" s="1"/>
  <c r="Z39" i="20" s="1"/>
  <c r="AJ39" i="20"/>
  <c r="AH39" i="20"/>
  <c r="AQ38" i="20" s="1"/>
  <c r="AF39" i="20"/>
  <c r="AE39" i="20"/>
  <c r="AD39" i="20"/>
  <c r="AC39" i="20"/>
  <c r="AB39" i="20"/>
  <c r="X39" i="20"/>
  <c r="L39" i="20"/>
  <c r="J39" i="20"/>
  <c r="J38" i="20" s="1"/>
  <c r="H39" i="20"/>
  <c r="L38" i="20"/>
  <c r="BU36" i="20"/>
  <c r="BH36" i="20"/>
  <c r="BD36" i="20"/>
  <c r="BB36" i="20"/>
  <c r="AU36" i="20"/>
  <c r="AN36" i="20"/>
  <c r="I36" i="20" s="1"/>
  <c r="AM36" i="20"/>
  <c r="BF36" i="20" s="1"/>
  <c r="Z36" i="20" s="1"/>
  <c r="AJ36" i="20"/>
  <c r="AH36" i="20"/>
  <c r="AF36" i="20"/>
  <c r="AE36" i="20"/>
  <c r="AD36" i="20"/>
  <c r="AC36" i="20"/>
  <c r="AB36" i="20"/>
  <c r="X36" i="20"/>
  <c r="L36" i="20"/>
  <c r="J36" i="20"/>
  <c r="AI36" i="20" s="1"/>
  <c r="H36" i="20"/>
  <c r="BU34" i="20"/>
  <c r="BH34" i="20"/>
  <c r="BB34" i="20"/>
  <c r="AV34" i="20"/>
  <c r="AN34" i="20"/>
  <c r="BG34" i="20" s="1"/>
  <c r="AA34" i="20" s="1"/>
  <c r="AM34" i="20"/>
  <c r="H34" i="20" s="1"/>
  <c r="H33" i="20" s="1"/>
  <c r="AJ34" i="20"/>
  <c r="AH34" i="20"/>
  <c r="AQ33" i="20" s="1"/>
  <c r="AF34" i="20"/>
  <c r="AE34" i="20"/>
  <c r="AD34" i="20"/>
  <c r="AC34" i="20"/>
  <c r="AB34" i="20"/>
  <c r="X34" i="20"/>
  <c r="L34" i="20"/>
  <c r="L33" i="20" s="1"/>
  <c r="J34" i="20"/>
  <c r="J33" i="20" s="1"/>
  <c r="I34" i="20"/>
  <c r="I33" i="20" s="1"/>
  <c r="BU31" i="20"/>
  <c r="BH31" i="20"/>
  <c r="BB31" i="20"/>
  <c r="AV31" i="20"/>
  <c r="AN31" i="20"/>
  <c r="BG31" i="20" s="1"/>
  <c r="AA31" i="20" s="1"/>
  <c r="AM31" i="20"/>
  <c r="AU31" i="20" s="1"/>
  <c r="AJ31" i="20"/>
  <c r="AI31" i="20"/>
  <c r="AH31" i="20"/>
  <c r="AF31" i="20"/>
  <c r="AE31" i="20"/>
  <c r="AD31" i="20"/>
  <c r="AC31" i="20"/>
  <c r="AB31" i="20"/>
  <c r="X31" i="20"/>
  <c r="L31" i="20"/>
  <c r="BD31" i="20" s="1"/>
  <c r="J31" i="20"/>
  <c r="I31" i="20"/>
  <c r="BU29" i="20"/>
  <c r="BH29" i="20"/>
  <c r="BD29" i="20"/>
  <c r="BB29" i="20"/>
  <c r="AV29" i="20"/>
  <c r="AN29" i="20"/>
  <c r="I29" i="20" s="1"/>
  <c r="AM29" i="20"/>
  <c r="BF29" i="20" s="1"/>
  <c r="Z29" i="20" s="1"/>
  <c r="AJ29" i="20"/>
  <c r="AH29" i="20"/>
  <c r="AF29" i="20"/>
  <c r="AE29" i="20"/>
  <c r="AD29" i="20"/>
  <c r="AC29" i="20"/>
  <c r="AB29" i="20"/>
  <c r="X29" i="20"/>
  <c r="L29" i="20"/>
  <c r="J29" i="20"/>
  <c r="AI29" i="20" s="1"/>
  <c r="BU27" i="20"/>
  <c r="BH27" i="20"/>
  <c r="BB27" i="20"/>
  <c r="AN27" i="20"/>
  <c r="BG27" i="20" s="1"/>
  <c r="AA27" i="20" s="1"/>
  <c r="AM27" i="20"/>
  <c r="H27" i="20" s="1"/>
  <c r="AJ27" i="20"/>
  <c r="AH27" i="20"/>
  <c r="AF27" i="20"/>
  <c r="AE27" i="20"/>
  <c r="AD27" i="20"/>
  <c r="AC27" i="20"/>
  <c r="AB27" i="20"/>
  <c r="X27" i="20"/>
  <c r="L27" i="20"/>
  <c r="BD27" i="20" s="1"/>
  <c r="J27" i="20"/>
  <c r="AI27" i="20" s="1"/>
  <c r="I27" i="20"/>
  <c r="BU25" i="20"/>
  <c r="BH25" i="20"/>
  <c r="BD25" i="20"/>
  <c r="BB25" i="20"/>
  <c r="AN25" i="20"/>
  <c r="AV25" i="20" s="1"/>
  <c r="AM25" i="20"/>
  <c r="BF25" i="20" s="1"/>
  <c r="Z25" i="20" s="1"/>
  <c r="AJ25" i="20"/>
  <c r="AS24" i="20" s="1"/>
  <c r="AH25" i="20"/>
  <c r="AF25" i="20"/>
  <c r="AE25" i="20"/>
  <c r="AD25" i="20"/>
  <c r="AC25" i="20"/>
  <c r="AB25" i="20"/>
  <c r="X25" i="20"/>
  <c r="L25" i="20"/>
  <c r="J25" i="20"/>
  <c r="L24" i="20"/>
  <c r="BU22" i="20"/>
  <c r="BH22" i="20"/>
  <c r="BD22" i="20"/>
  <c r="BB22" i="20"/>
  <c r="AV22" i="20"/>
  <c r="AN22" i="20"/>
  <c r="I22" i="20" s="1"/>
  <c r="AM22" i="20"/>
  <c r="BF22" i="20" s="1"/>
  <c r="Z22" i="20" s="1"/>
  <c r="AJ22" i="20"/>
  <c r="AS19" i="20" s="1"/>
  <c r="AH22" i="20"/>
  <c r="AF22" i="20"/>
  <c r="AE22" i="20"/>
  <c r="AD22" i="20"/>
  <c r="AC22" i="20"/>
  <c r="AB22" i="20"/>
  <c r="X22" i="20"/>
  <c r="L22" i="20"/>
  <c r="J22" i="20"/>
  <c r="AI22" i="20" s="1"/>
  <c r="BU20" i="20"/>
  <c r="BH20" i="20"/>
  <c r="BB20" i="20"/>
  <c r="AN20" i="20"/>
  <c r="BG20" i="20" s="1"/>
  <c r="AA20" i="20" s="1"/>
  <c r="AM20" i="20"/>
  <c r="H20" i="20" s="1"/>
  <c r="AJ20" i="20"/>
  <c r="AH20" i="20"/>
  <c r="AQ19" i="20" s="1"/>
  <c r="AF20" i="20"/>
  <c r="AE20" i="20"/>
  <c r="AD20" i="20"/>
  <c r="AC20" i="20"/>
  <c r="AB20" i="20"/>
  <c r="X20" i="20"/>
  <c r="L20" i="20"/>
  <c r="L19" i="20" s="1"/>
  <c r="J20" i="20"/>
  <c r="AI20" i="20" s="1"/>
  <c r="I20" i="20"/>
  <c r="BU17" i="20"/>
  <c r="BH17" i="20"/>
  <c r="BB17" i="20"/>
  <c r="AV17" i="20"/>
  <c r="AN17" i="20"/>
  <c r="BG17" i="20" s="1"/>
  <c r="AA17" i="20" s="1"/>
  <c r="AM17" i="20"/>
  <c r="AU17" i="20" s="1"/>
  <c r="AJ17" i="20"/>
  <c r="AI17" i="20"/>
  <c r="AH17" i="20"/>
  <c r="AF17" i="20"/>
  <c r="AE17" i="20"/>
  <c r="AD17" i="20"/>
  <c r="AC17" i="20"/>
  <c r="AB17" i="20"/>
  <c r="X17" i="20"/>
  <c r="L17" i="20"/>
  <c r="BD17" i="20" s="1"/>
  <c r="J17" i="20"/>
  <c r="I17" i="20"/>
  <c r="BU15" i="20"/>
  <c r="BH15" i="20"/>
  <c r="BD15" i="20"/>
  <c r="BB15" i="20"/>
  <c r="AU15" i="20"/>
  <c r="AN15" i="20"/>
  <c r="I15" i="20" s="1"/>
  <c r="AM15" i="20"/>
  <c r="BF15" i="20" s="1"/>
  <c r="Z15" i="20" s="1"/>
  <c r="AJ15" i="20"/>
  <c r="AH15" i="20"/>
  <c r="AF15" i="20"/>
  <c r="AE15" i="20"/>
  <c r="AD15" i="20"/>
  <c r="AC15" i="20"/>
  <c r="AB15" i="20"/>
  <c r="X15" i="20"/>
  <c r="L15" i="20"/>
  <c r="J15" i="20"/>
  <c r="AI15" i="20" s="1"/>
  <c r="H15" i="20"/>
  <c r="BU13" i="20"/>
  <c r="BH13" i="20"/>
  <c r="BB13" i="20"/>
  <c r="AV13" i="20"/>
  <c r="AN13" i="20"/>
  <c r="BG13" i="20" s="1"/>
  <c r="AA13" i="20" s="1"/>
  <c r="AM13" i="20"/>
  <c r="H13" i="20" s="1"/>
  <c r="AJ13" i="20"/>
  <c r="AI13" i="20"/>
  <c r="AH13" i="20"/>
  <c r="AF13" i="20"/>
  <c r="AE13" i="20"/>
  <c r="AD13" i="20"/>
  <c r="AC13" i="20"/>
  <c r="AB13" i="20"/>
  <c r="X13" i="20"/>
  <c r="L13" i="20"/>
  <c r="L12" i="20" s="1"/>
  <c r="J13" i="20"/>
  <c r="I13" i="20"/>
  <c r="I12" i="20" s="1"/>
  <c r="AQ12" i="20"/>
  <c r="AS1" i="20"/>
  <c r="AR1" i="20"/>
  <c r="AQ1" i="20"/>
  <c r="BU76" i="16"/>
  <c r="BH76" i="16"/>
  <c r="BB76" i="16"/>
  <c r="AN76" i="16"/>
  <c r="BG76" i="16" s="1"/>
  <c r="AE76" i="16" s="1"/>
  <c r="AM76" i="16"/>
  <c r="BF76" i="16" s="1"/>
  <c r="AD76" i="16" s="1"/>
  <c r="AJ76" i="16"/>
  <c r="AS75" i="16" s="1"/>
  <c r="AH76" i="16"/>
  <c r="AQ75" i="16" s="1"/>
  <c r="AF76" i="16"/>
  <c r="AC76" i="16"/>
  <c r="AB76" i="16"/>
  <c r="AA76" i="16"/>
  <c r="Z76" i="16"/>
  <c r="X76" i="16"/>
  <c r="L76" i="16"/>
  <c r="BD76" i="16" s="1"/>
  <c r="J76" i="16"/>
  <c r="AI76" i="16" s="1"/>
  <c r="AR75" i="16" s="1"/>
  <c r="BU74" i="16"/>
  <c r="BH74" i="16"/>
  <c r="BB74" i="16"/>
  <c r="AN74" i="16"/>
  <c r="BG74" i="16" s="1"/>
  <c r="AM74" i="16"/>
  <c r="H74" i="16" s="1"/>
  <c r="AJ74" i="16"/>
  <c r="AH74" i="16"/>
  <c r="AQ72" i="16" s="1"/>
  <c r="AF74" i="16"/>
  <c r="AE74" i="16"/>
  <c r="AD74" i="16"/>
  <c r="AC74" i="16"/>
  <c r="AB74" i="16"/>
  <c r="AA74" i="16"/>
  <c r="Z74" i="16"/>
  <c r="X74" i="16"/>
  <c r="L74" i="16"/>
  <c r="J74" i="16"/>
  <c r="AI74" i="16" s="1"/>
  <c r="BU73" i="16"/>
  <c r="BH73" i="16"/>
  <c r="X73" i="16" s="1"/>
  <c r="BB73" i="16"/>
  <c r="AN73" i="16"/>
  <c r="BG73" i="16" s="1"/>
  <c r="AM73" i="16"/>
  <c r="BF73" i="16" s="1"/>
  <c r="AJ73" i="16"/>
  <c r="AS72" i="16" s="1"/>
  <c r="AH73" i="16"/>
  <c r="AF73" i="16"/>
  <c r="AE73" i="16"/>
  <c r="AD73" i="16"/>
  <c r="AC73" i="16"/>
  <c r="AB73" i="16"/>
  <c r="AA73" i="16"/>
  <c r="Z73" i="16"/>
  <c r="L73" i="16"/>
  <c r="BD73" i="16" s="1"/>
  <c r="J73" i="16"/>
  <c r="J72" i="16" s="1"/>
  <c r="BU70" i="16"/>
  <c r="BH70" i="16"/>
  <c r="BB70" i="16"/>
  <c r="AN70" i="16"/>
  <c r="I70" i="16" s="1"/>
  <c r="AM70" i="16"/>
  <c r="AJ70" i="16"/>
  <c r="AH70" i="16"/>
  <c r="AF70" i="16"/>
  <c r="AE70" i="16"/>
  <c r="AD70" i="16"/>
  <c r="AC70" i="16"/>
  <c r="AB70" i="16"/>
  <c r="AA70" i="16"/>
  <c r="Z70" i="16"/>
  <c r="X70" i="16"/>
  <c r="L70" i="16"/>
  <c r="BD70" i="16" s="1"/>
  <c r="J70" i="16"/>
  <c r="AI70" i="16" s="1"/>
  <c r="BU68" i="16"/>
  <c r="BH68" i="16"/>
  <c r="X68" i="16" s="1"/>
  <c r="BB68" i="16"/>
  <c r="AU68" i="16"/>
  <c r="AN68" i="16"/>
  <c r="BG68" i="16" s="1"/>
  <c r="AM68" i="16"/>
  <c r="H68" i="16" s="1"/>
  <c r="AJ68" i="16"/>
  <c r="AH68" i="16"/>
  <c r="AQ66" i="16" s="1"/>
  <c r="AF68" i="16"/>
  <c r="AE68" i="16"/>
  <c r="AD68" i="16"/>
  <c r="AC68" i="16"/>
  <c r="AB68" i="16"/>
  <c r="AA68" i="16"/>
  <c r="Z68" i="16"/>
  <c r="L68" i="16"/>
  <c r="BD68" i="16" s="1"/>
  <c r="J68" i="16"/>
  <c r="AI68" i="16" s="1"/>
  <c r="I68" i="16"/>
  <c r="BU67" i="16"/>
  <c r="BH67" i="16"/>
  <c r="X67" i="16" s="1"/>
  <c r="BB67" i="16"/>
  <c r="AN67" i="16"/>
  <c r="BG67" i="16" s="1"/>
  <c r="AM67" i="16"/>
  <c r="BF67" i="16" s="1"/>
  <c r="AJ67" i="16"/>
  <c r="AH67" i="16"/>
  <c r="AF67" i="16"/>
  <c r="AE67" i="16"/>
  <c r="AD67" i="16"/>
  <c r="AC67" i="16"/>
  <c r="AB67" i="16"/>
  <c r="AA67" i="16"/>
  <c r="Z67" i="16"/>
  <c r="L67" i="16"/>
  <c r="BD67" i="16" s="1"/>
  <c r="J67" i="16"/>
  <c r="AI67" i="16" s="1"/>
  <c r="BU64" i="16"/>
  <c r="BH64" i="16"/>
  <c r="BB64" i="16"/>
  <c r="AN64" i="16"/>
  <c r="I64" i="16" s="1"/>
  <c r="I63" i="16" s="1"/>
  <c r="AM64" i="16"/>
  <c r="AJ64" i="16"/>
  <c r="AS63" i="16" s="1"/>
  <c r="AH64" i="16"/>
  <c r="AQ63" i="16" s="1"/>
  <c r="AF64" i="16"/>
  <c r="AE64" i="16"/>
  <c r="AD64" i="16"/>
  <c r="AC64" i="16"/>
  <c r="AB64" i="16"/>
  <c r="X64" i="16"/>
  <c r="L64" i="16"/>
  <c r="J64" i="16"/>
  <c r="AI64" i="16" s="1"/>
  <c r="AR63" i="16" s="1"/>
  <c r="BU61" i="16"/>
  <c r="BH61" i="16"/>
  <c r="BB61" i="16"/>
  <c r="AN61" i="16"/>
  <c r="BG61" i="16" s="1"/>
  <c r="AA61" i="16" s="1"/>
  <c r="AM61" i="16"/>
  <c r="BF61" i="16" s="1"/>
  <c r="Z61" i="16" s="1"/>
  <c r="AJ61" i="16"/>
  <c r="AS60" i="16" s="1"/>
  <c r="AH61" i="16"/>
  <c r="AQ60" i="16" s="1"/>
  <c r="AF61" i="16"/>
  <c r="AE61" i="16"/>
  <c r="AD61" i="16"/>
  <c r="AC61" i="16"/>
  <c r="AB61" i="16"/>
  <c r="X61" i="16"/>
  <c r="L61" i="16"/>
  <c r="BD61" i="16" s="1"/>
  <c r="J61" i="16"/>
  <c r="J60" i="16" s="1"/>
  <c r="L60" i="16"/>
  <c r="BU58" i="16"/>
  <c r="BH58" i="16"/>
  <c r="BB58" i="16"/>
  <c r="AN58" i="16"/>
  <c r="I58" i="16" s="1"/>
  <c r="AM58" i="16"/>
  <c r="AJ58" i="16"/>
  <c r="AH58" i="16"/>
  <c r="AF58" i="16"/>
  <c r="AE58" i="16"/>
  <c r="AD58" i="16"/>
  <c r="AC58" i="16"/>
  <c r="AB58" i="16"/>
  <c r="X58" i="16"/>
  <c r="L58" i="16"/>
  <c r="BD58" i="16" s="1"/>
  <c r="J58" i="16"/>
  <c r="AI58" i="16" s="1"/>
  <c r="BU56" i="16"/>
  <c r="BH56" i="16"/>
  <c r="BD56" i="16"/>
  <c r="BB56" i="16"/>
  <c r="AN56" i="16"/>
  <c r="BG56" i="16" s="1"/>
  <c r="AA56" i="16" s="1"/>
  <c r="AM56" i="16"/>
  <c r="H56" i="16" s="1"/>
  <c r="AJ56" i="16"/>
  <c r="AH56" i="16"/>
  <c r="AF56" i="16"/>
  <c r="AE56" i="16"/>
  <c r="AD56" i="16"/>
  <c r="AC56" i="16"/>
  <c r="AB56" i="16"/>
  <c r="X56" i="16"/>
  <c r="L56" i="16"/>
  <c r="J56" i="16"/>
  <c r="AI56" i="16" s="1"/>
  <c r="BU54" i="16"/>
  <c r="BH54" i="16"/>
  <c r="BB54" i="16"/>
  <c r="AN54" i="16"/>
  <c r="BG54" i="16" s="1"/>
  <c r="AA54" i="16" s="1"/>
  <c r="AM54" i="16"/>
  <c r="BF54" i="16" s="1"/>
  <c r="Z54" i="16" s="1"/>
  <c r="AJ54" i="16"/>
  <c r="AH54" i="16"/>
  <c r="AF54" i="16"/>
  <c r="AE54" i="16"/>
  <c r="AD54" i="16"/>
  <c r="AC54" i="16"/>
  <c r="AB54" i="16"/>
  <c r="X54" i="16"/>
  <c r="L54" i="16"/>
  <c r="J54" i="16"/>
  <c r="AI54" i="16" s="1"/>
  <c r="BU52" i="16"/>
  <c r="BH52" i="16"/>
  <c r="BB52" i="16"/>
  <c r="AN52" i="16"/>
  <c r="BG52" i="16" s="1"/>
  <c r="AA52" i="16" s="1"/>
  <c r="AM52" i="16"/>
  <c r="BF52" i="16" s="1"/>
  <c r="Z52" i="16" s="1"/>
  <c r="AJ52" i="16"/>
  <c r="AH52" i="16"/>
  <c r="AF52" i="16"/>
  <c r="AE52" i="16"/>
  <c r="AD52" i="16"/>
  <c r="AC52" i="16"/>
  <c r="AB52" i="16"/>
  <c r="X52" i="16"/>
  <c r="L52" i="16"/>
  <c r="BD52" i="16" s="1"/>
  <c r="J52" i="16"/>
  <c r="AI52" i="16" s="1"/>
  <c r="H52" i="16"/>
  <c r="BU49" i="16"/>
  <c r="BH49" i="16"/>
  <c r="BB49" i="16"/>
  <c r="AN49" i="16"/>
  <c r="BG49" i="16" s="1"/>
  <c r="AA49" i="16" s="1"/>
  <c r="AM49" i="16"/>
  <c r="H49" i="16" s="1"/>
  <c r="H48" i="16" s="1"/>
  <c r="AJ49" i="16"/>
  <c r="AS48" i="16" s="1"/>
  <c r="AH49" i="16"/>
  <c r="AQ48" i="16" s="1"/>
  <c r="AF49" i="16"/>
  <c r="AE49" i="16"/>
  <c r="AD49" i="16"/>
  <c r="AC49" i="16"/>
  <c r="AB49" i="16"/>
  <c r="X49" i="16"/>
  <c r="L49" i="16"/>
  <c r="L48" i="16" s="1"/>
  <c r="J49" i="16"/>
  <c r="BU46" i="16"/>
  <c r="BH46" i="16"/>
  <c r="BB46" i="16"/>
  <c r="AN46" i="16"/>
  <c r="BG46" i="16" s="1"/>
  <c r="AA46" i="16" s="1"/>
  <c r="AM46" i="16"/>
  <c r="BF46" i="16" s="1"/>
  <c r="Z46" i="16" s="1"/>
  <c r="AJ46" i="16"/>
  <c r="AH46" i="16"/>
  <c r="AQ45" i="16" s="1"/>
  <c r="AF46" i="16"/>
  <c r="AE46" i="16"/>
  <c r="AD46" i="16"/>
  <c r="AC46" i="16"/>
  <c r="AB46" i="16"/>
  <c r="X46" i="16"/>
  <c r="L46" i="16"/>
  <c r="BD46" i="16" s="1"/>
  <c r="J46" i="16"/>
  <c r="AI46" i="16" s="1"/>
  <c r="AR45" i="16" s="1"/>
  <c r="AS45" i="16"/>
  <c r="L45" i="16"/>
  <c r="BU43" i="16"/>
  <c r="BH43" i="16"/>
  <c r="BB43" i="16"/>
  <c r="AN43" i="16"/>
  <c r="BG43" i="16" s="1"/>
  <c r="AA43" i="16" s="1"/>
  <c r="AM43" i="16"/>
  <c r="H43" i="16" s="1"/>
  <c r="H42" i="16" s="1"/>
  <c r="AJ43" i="16"/>
  <c r="AS42" i="16" s="1"/>
  <c r="AH43" i="16"/>
  <c r="AQ42" i="16" s="1"/>
  <c r="AF43" i="16"/>
  <c r="AE43" i="16"/>
  <c r="AD43" i="16"/>
  <c r="AC43" i="16"/>
  <c r="AB43" i="16"/>
  <c r="X43" i="16"/>
  <c r="L43" i="16"/>
  <c r="L42" i="16" s="1"/>
  <c r="J43" i="16"/>
  <c r="I43" i="16"/>
  <c r="I42" i="16" s="1"/>
  <c r="BU40" i="16"/>
  <c r="BH40" i="16"/>
  <c r="BB40" i="16"/>
  <c r="AN40" i="16"/>
  <c r="BG40" i="16" s="1"/>
  <c r="AA40" i="16" s="1"/>
  <c r="AM40" i="16"/>
  <c r="BF40" i="16" s="1"/>
  <c r="Z40" i="16" s="1"/>
  <c r="AJ40" i="16"/>
  <c r="AH40" i="16"/>
  <c r="AF40" i="16"/>
  <c r="AE40" i="16"/>
  <c r="AD40" i="16"/>
  <c r="AC40" i="16"/>
  <c r="AB40" i="16"/>
  <c r="X40" i="16"/>
  <c r="L40" i="16"/>
  <c r="BD40" i="16" s="1"/>
  <c r="J40" i="16"/>
  <c r="AI40" i="16" s="1"/>
  <c r="BU38" i="16"/>
  <c r="BH38" i="16"/>
  <c r="BB38" i="16"/>
  <c r="AN38" i="16"/>
  <c r="I38" i="16" s="1"/>
  <c r="AM38" i="16"/>
  <c r="AU38" i="16" s="1"/>
  <c r="AJ38" i="16"/>
  <c r="AH38" i="16"/>
  <c r="AF38" i="16"/>
  <c r="AE38" i="16"/>
  <c r="AD38" i="16"/>
  <c r="AC38" i="16"/>
  <c r="AB38" i="16"/>
  <c r="X38" i="16"/>
  <c r="L38" i="16"/>
  <c r="BD38" i="16" s="1"/>
  <c r="J38" i="16"/>
  <c r="AI38" i="16" s="1"/>
  <c r="BU36" i="16"/>
  <c r="BH36" i="16"/>
  <c r="BB36" i="16"/>
  <c r="AN36" i="16"/>
  <c r="BG36" i="16" s="1"/>
  <c r="AM36" i="16"/>
  <c r="H36" i="16" s="1"/>
  <c r="AJ36" i="16"/>
  <c r="AH36" i="16"/>
  <c r="AF36" i="16"/>
  <c r="AE36" i="16"/>
  <c r="AD36" i="16"/>
  <c r="AC36" i="16"/>
  <c r="AB36" i="16"/>
  <c r="AA36" i="16"/>
  <c r="X36" i="16"/>
  <c r="L36" i="16"/>
  <c r="J36" i="16"/>
  <c r="AI36" i="16" s="1"/>
  <c r="I36" i="16"/>
  <c r="AS35" i="16"/>
  <c r="BU33" i="16"/>
  <c r="BH33" i="16"/>
  <c r="BB33" i="16"/>
  <c r="AN33" i="16"/>
  <c r="AV33" i="16" s="1"/>
  <c r="AM33" i="16"/>
  <c r="BF33" i="16" s="1"/>
  <c r="AJ33" i="16"/>
  <c r="AH33" i="16"/>
  <c r="AF33" i="16"/>
  <c r="AE33" i="16"/>
  <c r="AD33" i="16"/>
  <c r="AC33" i="16"/>
  <c r="AB33" i="16"/>
  <c r="Z33" i="16"/>
  <c r="X33" i="16"/>
  <c r="L33" i="16"/>
  <c r="BD33" i="16" s="1"/>
  <c r="J33" i="16"/>
  <c r="AI33" i="16" s="1"/>
  <c r="I33" i="16"/>
  <c r="BU31" i="16"/>
  <c r="BH31" i="16"/>
  <c r="BB31" i="16"/>
  <c r="AN31" i="16"/>
  <c r="I31" i="16" s="1"/>
  <c r="AM31" i="16"/>
  <c r="AU31" i="16" s="1"/>
  <c r="AJ31" i="16"/>
  <c r="AH31" i="16"/>
  <c r="AF31" i="16"/>
  <c r="AE31" i="16"/>
  <c r="AD31" i="16"/>
  <c r="AC31" i="16"/>
  <c r="AB31" i="16"/>
  <c r="X31" i="16"/>
  <c r="L31" i="16"/>
  <c r="BD31" i="16" s="1"/>
  <c r="J31" i="16"/>
  <c r="AI31" i="16" s="1"/>
  <c r="BU29" i="16"/>
  <c r="BH29" i="16"/>
  <c r="BB29" i="16"/>
  <c r="AN29" i="16"/>
  <c r="BG29" i="16" s="1"/>
  <c r="AA29" i="16" s="1"/>
  <c r="AM29" i="16"/>
  <c r="H29" i="16" s="1"/>
  <c r="AJ29" i="16"/>
  <c r="AH29" i="16"/>
  <c r="AF29" i="16"/>
  <c r="AE29" i="16"/>
  <c r="AD29" i="16"/>
  <c r="AC29" i="16"/>
  <c r="AB29" i="16"/>
  <c r="X29" i="16"/>
  <c r="L29" i="16"/>
  <c r="BD29" i="16" s="1"/>
  <c r="J29" i="16"/>
  <c r="AI29" i="16" s="1"/>
  <c r="I29" i="16"/>
  <c r="BU27" i="16"/>
  <c r="BH27" i="16"/>
  <c r="BB27" i="16"/>
  <c r="AN27" i="16"/>
  <c r="BG27" i="16" s="1"/>
  <c r="AA27" i="16" s="1"/>
  <c r="AM27" i="16"/>
  <c r="BF27" i="16" s="1"/>
  <c r="AJ27" i="16"/>
  <c r="AH27" i="16"/>
  <c r="AF27" i="16"/>
  <c r="AE27" i="16"/>
  <c r="AD27" i="16"/>
  <c r="AC27" i="16"/>
  <c r="AB27" i="16"/>
  <c r="Z27" i="16"/>
  <c r="X27" i="16"/>
  <c r="L27" i="16"/>
  <c r="BD27" i="16" s="1"/>
  <c r="J27" i="16"/>
  <c r="AI27" i="16" s="1"/>
  <c r="H27" i="16"/>
  <c r="BU24" i="16"/>
  <c r="BH24" i="16"/>
  <c r="BB24" i="16"/>
  <c r="AV24" i="16"/>
  <c r="AN24" i="16"/>
  <c r="I24" i="16" s="1"/>
  <c r="AM24" i="16"/>
  <c r="AU24" i="16" s="1"/>
  <c r="AJ24" i="16"/>
  <c r="AH24" i="16"/>
  <c r="AF24" i="16"/>
  <c r="AE24" i="16"/>
  <c r="AD24" i="16"/>
  <c r="AC24" i="16"/>
  <c r="AB24" i="16"/>
  <c r="X24" i="16"/>
  <c r="L24" i="16"/>
  <c r="BD24" i="16" s="1"/>
  <c r="J24" i="16"/>
  <c r="AI24" i="16" s="1"/>
  <c r="BU22" i="16"/>
  <c r="BH22" i="16"/>
  <c r="BB22" i="16"/>
  <c r="AN22" i="16"/>
  <c r="BG22" i="16" s="1"/>
  <c r="AA22" i="16" s="1"/>
  <c r="AM22" i="16"/>
  <c r="H22" i="16" s="1"/>
  <c r="AJ22" i="16"/>
  <c r="AH22" i="16"/>
  <c r="AF22" i="16"/>
  <c r="AE22" i="16"/>
  <c r="AD22" i="16"/>
  <c r="AC22" i="16"/>
  <c r="AB22" i="16"/>
  <c r="X22" i="16"/>
  <c r="L22" i="16"/>
  <c r="BD22" i="16" s="1"/>
  <c r="J22" i="16"/>
  <c r="AI22" i="16" s="1"/>
  <c r="I22" i="16"/>
  <c r="BU20" i="16"/>
  <c r="BH20" i="16"/>
  <c r="BB20" i="16"/>
  <c r="AV20" i="16"/>
  <c r="AN20" i="16"/>
  <c r="BG20" i="16" s="1"/>
  <c r="AA20" i="16" s="1"/>
  <c r="AM20" i="16"/>
  <c r="BF20" i="16" s="1"/>
  <c r="Z20" i="16" s="1"/>
  <c r="AJ20" i="16"/>
  <c r="AH20" i="16"/>
  <c r="AF20" i="16"/>
  <c r="AE20" i="16"/>
  <c r="AD20" i="16"/>
  <c r="AC20" i="16"/>
  <c r="AB20" i="16"/>
  <c r="X20" i="16"/>
  <c r="L20" i="16"/>
  <c r="BD20" i="16" s="1"/>
  <c r="J20" i="16"/>
  <c r="AI20" i="16" s="1"/>
  <c r="I20" i="16"/>
  <c r="BU18" i="16"/>
  <c r="BH18" i="16"/>
  <c r="BB18" i="16"/>
  <c r="AN18" i="16"/>
  <c r="AV18" i="16" s="1"/>
  <c r="AM18" i="16"/>
  <c r="BF18" i="16" s="1"/>
  <c r="Z18" i="16" s="1"/>
  <c r="AJ18" i="16"/>
  <c r="AH18" i="16"/>
  <c r="AF18" i="16"/>
  <c r="AE18" i="16"/>
  <c r="AD18" i="16"/>
  <c r="AC18" i="16"/>
  <c r="AB18" i="16"/>
  <c r="X18" i="16"/>
  <c r="L18" i="16"/>
  <c r="BD18" i="16" s="1"/>
  <c r="J18" i="16"/>
  <c r="BU15" i="16"/>
  <c r="BH15" i="16"/>
  <c r="BB15" i="16"/>
  <c r="AN15" i="16"/>
  <c r="BG15" i="16" s="1"/>
  <c r="AA15" i="16" s="1"/>
  <c r="AM15" i="16"/>
  <c r="H15" i="16" s="1"/>
  <c r="AJ15" i="16"/>
  <c r="AH15" i="16"/>
  <c r="AF15" i="16"/>
  <c r="AE15" i="16"/>
  <c r="AD15" i="16"/>
  <c r="AC15" i="16"/>
  <c r="AB15" i="16"/>
  <c r="X15" i="16"/>
  <c r="L15" i="16"/>
  <c r="BD15" i="16" s="1"/>
  <c r="J15" i="16"/>
  <c r="AI15" i="16" s="1"/>
  <c r="I15" i="16"/>
  <c r="BU13" i="16"/>
  <c r="BH13" i="16"/>
  <c r="BB13" i="16"/>
  <c r="AN13" i="16"/>
  <c r="BG13" i="16" s="1"/>
  <c r="AA13" i="16" s="1"/>
  <c r="AM13" i="16"/>
  <c r="BF13" i="16" s="1"/>
  <c r="Z13" i="16" s="1"/>
  <c r="AJ13" i="16"/>
  <c r="AS12" i="16" s="1"/>
  <c r="AH13" i="16"/>
  <c r="AQ12" i="16" s="1"/>
  <c r="AF13" i="16"/>
  <c r="AE13" i="16"/>
  <c r="AD13" i="16"/>
  <c r="AC13" i="16"/>
  <c r="AB13" i="16"/>
  <c r="X13" i="16"/>
  <c r="L13" i="16"/>
  <c r="BD13" i="16" s="1"/>
  <c r="J13" i="16"/>
  <c r="AI13" i="16" s="1"/>
  <c r="AR12" i="16" s="1"/>
  <c r="I13" i="16"/>
  <c r="H13" i="16"/>
  <c r="AS1" i="16"/>
  <c r="AR1" i="16"/>
  <c r="AQ1" i="16"/>
  <c r="BU90" i="15"/>
  <c r="BH90" i="15"/>
  <c r="BB90" i="15"/>
  <c r="AN90" i="15"/>
  <c r="BG90" i="15" s="1"/>
  <c r="AE90" i="15" s="1"/>
  <c r="AM90" i="15"/>
  <c r="BF90" i="15" s="1"/>
  <c r="AD90" i="15" s="1"/>
  <c r="AJ90" i="15"/>
  <c r="AH90" i="15"/>
  <c r="AF90" i="15"/>
  <c r="AC90" i="15"/>
  <c r="AB90" i="15"/>
  <c r="AA90" i="15"/>
  <c r="Z90" i="15"/>
  <c r="X90" i="15"/>
  <c r="L90" i="15"/>
  <c r="BD90" i="15" s="1"/>
  <c r="J90" i="15"/>
  <c r="AI90" i="15" s="1"/>
  <c r="AR89" i="15" s="1"/>
  <c r="I90" i="15"/>
  <c r="I89" i="15" s="1"/>
  <c r="AS89" i="15"/>
  <c r="AQ89" i="15"/>
  <c r="L89" i="15"/>
  <c r="BU88" i="15"/>
  <c r="BH88" i="15"/>
  <c r="X88" i="15" s="1"/>
  <c r="BB88" i="15"/>
  <c r="AN88" i="15"/>
  <c r="BG88" i="15" s="1"/>
  <c r="AM88" i="15"/>
  <c r="BF88" i="15" s="1"/>
  <c r="AJ88" i="15"/>
  <c r="AH88" i="15"/>
  <c r="AF88" i="15"/>
  <c r="AE88" i="15"/>
  <c r="AD88" i="15"/>
  <c r="AC88" i="15"/>
  <c r="AB88" i="15"/>
  <c r="AA88" i="15"/>
  <c r="Z88" i="15"/>
  <c r="L88" i="15"/>
  <c r="BD88" i="15" s="1"/>
  <c r="J88" i="15"/>
  <c r="AI88" i="15" s="1"/>
  <c r="H88" i="15"/>
  <c r="BU87" i="15"/>
  <c r="BH87" i="15"/>
  <c r="X87" i="15" s="1"/>
  <c r="BB87" i="15"/>
  <c r="AN87" i="15"/>
  <c r="BG87" i="15" s="1"/>
  <c r="AM87" i="15"/>
  <c r="BF87" i="15" s="1"/>
  <c r="AJ87" i="15"/>
  <c r="AS86" i="15" s="1"/>
  <c r="AH87" i="15"/>
  <c r="AQ86" i="15" s="1"/>
  <c r="AF87" i="15"/>
  <c r="AE87" i="15"/>
  <c r="AD87" i="15"/>
  <c r="AC87" i="15"/>
  <c r="AB87" i="15"/>
  <c r="AA87" i="15"/>
  <c r="Z87" i="15"/>
  <c r="L87" i="15"/>
  <c r="BD87" i="15" s="1"/>
  <c r="J87" i="15"/>
  <c r="AI87" i="15" s="1"/>
  <c r="AR86" i="15" s="1"/>
  <c r="H87" i="15"/>
  <c r="L86" i="15"/>
  <c r="J86" i="15"/>
  <c r="BU84" i="15"/>
  <c r="BH84" i="15"/>
  <c r="X84" i="15" s="1"/>
  <c r="BB84" i="15"/>
  <c r="AU84" i="15"/>
  <c r="AN84" i="15"/>
  <c r="BG84" i="15" s="1"/>
  <c r="AM84" i="15"/>
  <c r="BF84" i="15" s="1"/>
  <c r="AJ84" i="15"/>
  <c r="AH84" i="15"/>
  <c r="AF84" i="15"/>
  <c r="AE84" i="15"/>
  <c r="AD84" i="15"/>
  <c r="AC84" i="15"/>
  <c r="AB84" i="15"/>
  <c r="AA84" i="15"/>
  <c r="Z84" i="15"/>
  <c r="L84" i="15"/>
  <c r="BD84" i="15" s="1"/>
  <c r="J84" i="15"/>
  <c r="H84" i="15"/>
  <c r="BU82" i="15"/>
  <c r="BH82" i="15"/>
  <c r="X82" i="15" s="1"/>
  <c r="BB82" i="15"/>
  <c r="AN82" i="15"/>
  <c r="BG82" i="15" s="1"/>
  <c r="AM82" i="15"/>
  <c r="BF82" i="15" s="1"/>
  <c r="AJ82" i="15"/>
  <c r="AH82" i="15"/>
  <c r="AF82" i="15"/>
  <c r="AE82" i="15"/>
  <c r="AD82" i="15"/>
  <c r="AC82" i="15"/>
  <c r="AB82" i="15"/>
  <c r="AA82" i="15"/>
  <c r="Z82" i="15"/>
  <c r="L82" i="15"/>
  <c r="BD82" i="15" s="1"/>
  <c r="J82" i="15"/>
  <c r="AI82" i="15" s="1"/>
  <c r="H82" i="15"/>
  <c r="BU81" i="15"/>
  <c r="BH81" i="15"/>
  <c r="X81" i="15" s="1"/>
  <c r="BB81" i="15"/>
  <c r="AN81" i="15"/>
  <c r="BG81" i="15" s="1"/>
  <c r="AM81" i="15"/>
  <c r="BF81" i="15" s="1"/>
  <c r="AJ81" i="15"/>
  <c r="AH81" i="15"/>
  <c r="AQ80" i="15" s="1"/>
  <c r="AF81" i="15"/>
  <c r="AE81" i="15"/>
  <c r="AD81" i="15"/>
  <c r="AC81" i="15"/>
  <c r="AB81" i="15"/>
  <c r="AA81" i="15"/>
  <c r="Z81" i="15"/>
  <c r="L81" i="15"/>
  <c r="BD81" i="15" s="1"/>
  <c r="J81" i="15"/>
  <c r="J80" i="15" s="1"/>
  <c r="H81" i="15"/>
  <c r="H80" i="15" s="1"/>
  <c r="L80" i="15"/>
  <c r="BU78" i="15"/>
  <c r="BH78" i="15"/>
  <c r="BB78" i="15"/>
  <c r="AN78" i="15"/>
  <c r="BG78" i="15" s="1"/>
  <c r="AA78" i="15" s="1"/>
  <c r="AM78" i="15"/>
  <c r="BF78" i="15" s="1"/>
  <c r="AJ78" i="15"/>
  <c r="AS77" i="15" s="1"/>
  <c r="AH78" i="15"/>
  <c r="AF78" i="15"/>
  <c r="AE78" i="15"/>
  <c r="AD78" i="15"/>
  <c r="AC78" i="15"/>
  <c r="AB78" i="15"/>
  <c r="Z78" i="15"/>
  <c r="X78" i="15"/>
  <c r="L78" i="15"/>
  <c r="BD78" i="15" s="1"/>
  <c r="J78" i="15"/>
  <c r="AI78" i="15" s="1"/>
  <c r="AR77" i="15" s="1"/>
  <c r="H78" i="15"/>
  <c r="H77" i="15" s="1"/>
  <c r="AQ77" i="15"/>
  <c r="L77" i="15"/>
  <c r="BU75" i="15"/>
  <c r="BH75" i="15"/>
  <c r="BB75" i="15"/>
  <c r="AU75" i="15"/>
  <c r="AN75" i="15"/>
  <c r="BG75" i="15" s="1"/>
  <c r="AA75" i="15" s="1"/>
  <c r="AM75" i="15"/>
  <c r="BF75" i="15" s="1"/>
  <c r="AJ75" i="15"/>
  <c r="AH75" i="15"/>
  <c r="AQ74" i="15" s="1"/>
  <c r="AF75" i="15"/>
  <c r="AE75" i="15"/>
  <c r="AD75" i="15"/>
  <c r="AC75" i="15"/>
  <c r="AB75" i="15"/>
  <c r="Z75" i="15"/>
  <c r="X75" i="15"/>
  <c r="L75" i="15"/>
  <c r="BD75" i="15" s="1"/>
  <c r="J75" i="15"/>
  <c r="AS74" i="15"/>
  <c r="BU72" i="15"/>
  <c r="BH72" i="15"/>
  <c r="BB72" i="15"/>
  <c r="AN72" i="15"/>
  <c r="BG72" i="15" s="1"/>
  <c r="AA72" i="15" s="1"/>
  <c r="AM72" i="15"/>
  <c r="BF72" i="15" s="1"/>
  <c r="Z72" i="15" s="1"/>
  <c r="AJ72" i="15"/>
  <c r="AH72" i="15"/>
  <c r="AF72" i="15"/>
  <c r="AE72" i="15"/>
  <c r="AD72" i="15"/>
  <c r="AC72" i="15"/>
  <c r="AB72" i="15"/>
  <c r="X72" i="15"/>
  <c r="L72" i="15"/>
  <c r="BD72" i="15" s="1"/>
  <c r="J72" i="15"/>
  <c r="I72" i="15"/>
  <c r="H72" i="15"/>
  <c r="BU70" i="15"/>
  <c r="BH70" i="15"/>
  <c r="BD70" i="15"/>
  <c r="BB70" i="15"/>
  <c r="AU70" i="15"/>
  <c r="AN70" i="15"/>
  <c r="BG70" i="15" s="1"/>
  <c r="AA70" i="15" s="1"/>
  <c r="AM70" i="15"/>
  <c r="BF70" i="15" s="1"/>
  <c r="Z70" i="15" s="1"/>
  <c r="AJ70" i="15"/>
  <c r="AI70" i="15"/>
  <c r="AH70" i="15"/>
  <c r="AF70" i="15"/>
  <c r="AE70" i="15"/>
  <c r="AD70" i="15"/>
  <c r="AC70" i="15"/>
  <c r="AB70" i="15"/>
  <c r="X70" i="15"/>
  <c r="L70" i="15"/>
  <c r="J70" i="15"/>
  <c r="I70" i="15"/>
  <c r="H70" i="15"/>
  <c r="BU68" i="15"/>
  <c r="BH68" i="15"/>
  <c r="BB68" i="15"/>
  <c r="AN68" i="15"/>
  <c r="BG68" i="15" s="1"/>
  <c r="AA68" i="15" s="1"/>
  <c r="AM68" i="15"/>
  <c r="BF68" i="15" s="1"/>
  <c r="Z68" i="15" s="1"/>
  <c r="AJ68" i="15"/>
  <c r="AH68" i="15"/>
  <c r="AF68" i="15"/>
  <c r="AE68" i="15"/>
  <c r="AD68" i="15"/>
  <c r="AC68" i="15"/>
  <c r="AB68" i="15"/>
  <c r="X68" i="15"/>
  <c r="L68" i="15"/>
  <c r="BD68" i="15" s="1"/>
  <c r="J68" i="15"/>
  <c r="H68" i="15"/>
  <c r="BU66" i="15"/>
  <c r="BH66" i="15"/>
  <c r="BD66" i="15"/>
  <c r="BB66" i="15"/>
  <c r="AN66" i="15"/>
  <c r="BG66" i="15" s="1"/>
  <c r="AA66" i="15" s="1"/>
  <c r="AM66" i="15"/>
  <c r="BF66" i="15" s="1"/>
  <c r="Z66" i="15" s="1"/>
  <c r="AJ66" i="15"/>
  <c r="AH66" i="15"/>
  <c r="AQ65" i="15" s="1"/>
  <c r="AF66" i="15"/>
  <c r="AE66" i="15"/>
  <c r="AD66" i="15"/>
  <c r="AC66" i="15"/>
  <c r="AB66" i="15"/>
  <c r="X66" i="15"/>
  <c r="L66" i="15"/>
  <c r="J66" i="15"/>
  <c r="AI66" i="15" s="1"/>
  <c r="I66" i="15"/>
  <c r="H66" i="15"/>
  <c r="H65" i="15" s="1"/>
  <c r="BU63" i="15"/>
  <c r="BH63" i="15"/>
  <c r="BD63" i="15"/>
  <c r="BB63" i="15"/>
  <c r="AN63" i="15"/>
  <c r="BG63" i="15" s="1"/>
  <c r="AA63" i="15" s="1"/>
  <c r="AM63" i="15"/>
  <c r="BF63" i="15" s="1"/>
  <c r="AJ63" i="15"/>
  <c r="AH63" i="15"/>
  <c r="AQ62" i="15" s="1"/>
  <c r="AF63" i="15"/>
  <c r="AE63" i="15"/>
  <c r="AD63" i="15"/>
  <c r="AC63" i="15"/>
  <c r="AB63" i="15"/>
  <c r="Z63" i="15"/>
  <c r="X63" i="15"/>
  <c r="L63" i="15"/>
  <c r="J63" i="15"/>
  <c r="I63" i="15"/>
  <c r="I62" i="15" s="1"/>
  <c r="AS62" i="15"/>
  <c r="L62" i="15"/>
  <c r="BU60" i="15"/>
  <c r="BH60" i="15"/>
  <c r="BB60" i="15"/>
  <c r="AN60" i="15"/>
  <c r="BG60" i="15" s="1"/>
  <c r="AA60" i="15" s="1"/>
  <c r="AM60" i="15"/>
  <c r="BF60" i="15" s="1"/>
  <c r="Z60" i="15" s="1"/>
  <c r="AJ60" i="15"/>
  <c r="AH60" i="15"/>
  <c r="AF60" i="15"/>
  <c r="AE60" i="15"/>
  <c r="AD60" i="15"/>
  <c r="AC60" i="15"/>
  <c r="AB60" i="15"/>
  <c r="X60" i="15"/>
  <c r="L60" i="15"/>
  <c r="BD60" i="15" s="1"/>
  <c r="J60" i="15"/>
  <c r="I60" i="15"/>
  <c r="I59" i="15" s="1"/>
  <c r="H60" i="15"/>
  <c r="AS59" i="15"/>
  <c r="AQ59" i="15"/>
  <c r="L59" i="15"/>
  <c r="H59" i="15"/>
  <c r="BU57" i="15"/>
  <c r="BH57" i="15"/>
  <c r="BB57" i="15"/>
  <c r="AN57" i="15"/>
  <c r="BG57" i="15" s="1"/>
  <c r="AA57" i="15" s="1"/>
  <c r="AM57" i="15"/>
  <c r="BF57" i="15" s="1"/>
  <c r="AJ57" i="15"/>
  <c r="AH57" i="15"/>
  <c r="AQ56" i="15" s="1"/>
  <c r="AF57" i="15"/>
  <c r="AE57" i="15"/>
  <c r="AD57" i="15"/>
  <c r="AC57" i="15"/>
  <c r="AB57" i="15"/>
  <c r="Z57" i="15"/>
  <c r="X57" i="15"/>
  <c r="L57" i="15"/>
  <c r="BD57" i="15" s="1"/>
  <c r="J57" i="15"/>
  <c r="AI57" i="15" s="1"/>
  <c r="AR56" i="15" s="1"/>
  <c r="H57" i="15"/>
  <c r="AS56" i="15"/>
  <c r="H56" i="15"/>
  <c r="BU54" i="15"/>
  <c r="BH54" i="15"/>
  <c r="BD54" i="15"/>
  <c r="BB54" i="15"/>
  <c r="AN54" i="15"/>
  <c r="BG54" i="15" s="1"/>
  <c r="AA54" i="15" s="1"/>
  <c r="AM54" i="15"/>
  <c r="BF54" i="15" s="1"/>
  <c r="Z54" i="15" s="1"/>
  <c r="AJ54" i="15"/>
  <c r="AH54" i="15"/>
  <c r="AF54" i="15"/>
  <c r="AE54" i="15"/>
  <c r="AD54" i="15"/>
  <c r="AC54" i="15"/>
  <c r="AB54" i="15"/>
  <c r="X54" i="15"/>
  <c r="L54" i="15"/>
  <c r="J54" i="15"/>
  <c r="AI54" i="15" s="1"/>
  <c r="I54" i="15"/>
  <c r="BU52" i="15"/>
  <c r="BH52" i="15"/>
  <c r="BB52" i="15"/>
  <c r="AN52" i="15"/>
  <c r="BG52" i="15" s="1"/>
  <c r="AA52" i="15" s="1"/>
  <c r="AM52" i="15"/>
  <c r="BF52" i="15" s="1"/>
  <c r="Z52" i="15" s="1"/>
  <c r="AJ52" i="15"/>
  <c r="AS49" i="15" s="1"/>
  <c r="AH52" i="15"/>
  <c r="AF52" i="15"/>
  <c r="AE52" i="15"/>
  <c r="AD52" i="15"/>
  <c r="AC52" i="15"/>
  <c r="AB52" i="15"/>
  <c r="X52" i="15"/>
  <c r="L52" i="15"/>
  <c r="BD52" i="15" s="1"/>
  <c r="J52" i="15"/>
  <c r="I52" i="15"/>
  <c r="H52" i="15"/>
  <c r="BU50" i="15"/>
  <c r="BH50" i="15"/>
  <c r="BD50" i="15"/>
  <c r="BB50" i="15"/>
  <c r="AN50" i="15"/>
  <c r="BG50" i="15" s="1"/>
  <c r="AA50" i="15" s="1"/>
  <c r="AM50" i="15"/>
  <c r="BF50" i="15" s="1"/>
  <c r="Z50" i="15" s="1"/>
  <c r="AJ50" i="15"/>
  <c r="AH50" i="15"/>
  <c r="AF50" i="15"/>
  <c r="AE50" i="15"/>
  <c r="AD50" i="15"/>
  <c r="AC50" i="15"/>
  <c r="AB50" i="15"/>
  <c r="X50" i="15"/>
  <c r="L50" i="15"/>
  <c r="J50" i="15"/>
  <c r="AI50" i="15" s="1"/>
  <c r="I50" i="15"/>
  <c r="AQ49" i="15"/>
  <c r="BU47" i="15"/>
  <c r="BH47" i="15"/>
  <c r="BB47" i="15"/>
  <c r="AU47" i="15"/>
  <c r="AN47" i="15"/>
  <c r="BG47" i="15" s="1"/>
  <c r="AA47" i="15" s="1"/>
  <c r="AM47" i="15"/>
  <c r="BF47" i="15" s="1"/>
  <c r="AJ47" i="15"/>
  <c r="AH47" i="15"/>
  <c r="AF47" i="15"/>
  <c r="AE47" i="15"/>
  <c r="AD47" i="15"/>
  <c r="AC47" i="15"/>
  <c r="AB47" i="15"/>
  <c r="Z47" i="15"/>
  <c r="X47" i="15"/>
  <c r="L47" i="15"/>
  <c r="BD47" i="15" s="1"/>
  <c r="J47" i="15"/>
  <c r="I47" i="15"/>
  <c r="BU45" i="15"/>
  <c r="BH45" i="15"/>
  <c r="BD45" i="15"/>
  <c r="BB45" i="15"/>
  <c r="AU45" i="15"/>
  <c r="AN45" i="15"/>
  <c r="BG45" i="15" s="1"/>
  <c r="AA45" i="15" s="1"/>
  <c r="AM45" i="15"/>
  <c r="BF45" i="15" s="1"/>
  <c r="Z45" i="15" s="1"/>
  <c r="AJ45" i="15"/>
  <c r="AH45" i="15"/>
  <c r="AF45" i="15"/>
  <c r="AE45" i="15"/>
  <c r="AD45" i="15"/>
  <c r="AC45" i="15"/>
  <c r="AB45" i="15"/>
  <c r="X45" i="15"/>
  <c r="L45" i="15"/>
  <c r="J45" i="15"/>
  <c r="AI45" i="15" s="1"/>
  <c r="H45" i="15"/>
  <c r="BU43" i="15"/>
  <c r="BH43" i="15"/>
  <c r="BB43" i="15"/>
  <c r="AN43" i="15"/>
  <c r="BG43" i="15" s="1"/>
  <c r="AA43" i="15" s="1"/>
  <c r="AM43" i="15"/>
  <c r="BF43" i="15" s="1"/>
  <c r="AJ43" i="15"/>
  <c r="AH43" i="15"/>
  <c r="AF43" i="15"/>
  <c r="AE43" i="15"/>
  <c r="AD43" i="15"/>
  <c r="AC43" i="15"/>
  <c r="AB43" i="15"/>
  <c r="Z43" i="15"/>
  <c r="X43" i="15"/>
  <c r="L43" i="15"/>
  <c r="BD43" i="15" s="1"/>
  <c r="J43" i="15"/>
  <c r="H43" i="15"/>
  <c r="BU41" i="15"/>
  <c r="BH41" i="15"/>
  <c r="BB41" i="15"/>
  <c r="AN41" i="15"/>
  <c r="BG41" i="15" s="1"/>
  <c r="AA41" i="15" s="1"/>
  <c r="AM41" i="15"/>
  <c r="BF41" i="15" s="1"/>
  <c r="AJ41" i="15"/>
  <c r="AH41" i="15"/>
  <c r="AF41" i="15"/>
  <c r="AE41" i="15"/>
  <c r="AD41" i="15"/>
  <c r="AC41" i="15"/>
  <c r="AB41" i="15"/>
  <c r="Z41" i="15"/>
  <c r="X41" i="15"/>
  <c r="L41" i="15"/>
  <c r="BD41" i="15" s="1"/>
  <c r="J41" i="15"/>
  <c r="AI41" i="15" s="1"/>
  <c r="H41" i="15"/>
  <c r="L40" i="15"/>
  <c r="BU38" i="15"/>
  <c r="BH38" i="15"/>
  <c r="BD38" i="15"/>
  <c r="BB38" i="15"/>
  <c r="AU38" i="15"/>
  <c r="AN38" i="15"/>
  <c r="BG38" i="15" s="1"/>
  <c r="AA38" i="15" s="1"/>
  <c r="AM38" i="15"/>
  <c r="BF38" i="15" s="1"/>
  <c r="Z38" i="15" s="1"/>
  <c r="AJ38" i="15"/>
  <c r="AS35" i="15" s="1"/>
  <c r="AI38" i="15"/>
  <c r="AH38" i="15"/>
  <c r="AF38" i="15"/>
  <c r="AE38" i="15"/>
  <c r="AD38" i="15"/>
  <c r="AC38" i="15"/>
  <c r="AB38" i="15"/>
  <c r="X38" i="15"/>
  <c r="L38" i="15"/>
  <c r="J38" i="15"/>
  <c r="I38" i="15"/>
  <c r="H38" i="15"/>
  <c r="BU36" i="15"/>
  <c r="BH36" i="15"/>
  <c r="BB36" i="15"/>
  <c r="AN36" i="15"/>
  <c r="BG36" i="15" s="1"/>
  <c r="AA36" i="15" s="1"/>
  <c r="AM36" i="15"/>
  <c r="BF36" i="15" s="1"/>
  <c r="Z36" i="15" s="1"/>
  <c r="AJ36" i="15"/>
  <c r="AH36" i="15"/>
  <c r="AF36" i="15"/>
  <c r="AE36" i="15"/>
  <c r="AD36" i="15"/>
  <c r="AC36" i="15"/>
  <c r="AB36" i="15"/>
  <c r="X36" i="15"/>
  <c r="L36" i="15"/>
  <c r="L35" i="15" s="1"/>
  <c r="J36" i="15"/>
  <c r="I36" i="15"/>
  <c r="I35" i="15" s="1"/>
  <c r="H36" i="15"/>
  <c r="H35" i="15" s="1"/>
  <c r="AQ35" i="15"/>
  <c r="BU33" i="15"/>
  <c r="BH33" i="15"/>
  <c r="BB33" i="15"/>
  <c r="AN33" i="15"/>
  <c r="BG33" i="15" s="1"/>
  <c r="AA33" i="15" s="1"/>
  <c r="AM33" i="15"/>
  <c r="BF33" i="15" s="1"/>
  <c r="AJ33" i="15"/>
  <c r="AH33" i="15"/>
  <c r="AF33" i="15"/>
  <c r="AE33" i="15"/>
  <c r="AD33" i="15"/>
  <c r="AC33" i="15"/>
  <c r="AB33" i="15"/>
  <c r="Z33" i="15"/>
  <c r="X33" i="15"/>
  <c r="L33" i="15"/>
  <c r="BD33" i="15" s="1"/>
  <c r="J33" i="15"/>
  <c r="AI33" i="15" s="1"/>
  <c r="I33" i="15"/>
  <c r="BU31" i="15"/>
  <c r="BH31" i="15"/>
  <c r="BD31" i="15"/>
  <c r="BB31" i="15"/>
  <c r="AN31" i="15"/>
  <c r="BG31" i="15" s="1"/>
  <c r="AA31" i="15" s="1"/>
  <c r="AM31" i="15"/>
  <c r="BF31" i="15" s="1"/>
  <c r="AJ31" i="15"/>
  <c r="AH31" i="15"/>
  <c r="AF31" i="15"/>
  <c r="AE31" i="15"/>
  <c r="AD31" i="15"/>
  <c r="AC31" i="15"/>
  <c r="AB31" i="15"/>
  <c r="Z31" i="15"/>
  <c r="X31" i="15"/>
  <c r="L31" i="15"/>
  <c r="J31" i="15"/>
  <c r="I31" i="15"/>
  <c r="BU29" i="15"/>
  <c r="BH29" i="15"/>
  <c r="BD29" i="15"/>
  <c r="BB29" i="15"/>
  <c r="AN29" i="15"/>
  <c r="BG29" i="15" s="1"/>
  <c r="AA29" i="15" s="1"/>
  <c r="AM29" i="15"/>
  <c r="BF29" i="15" s="1"/>
  <c r="Z29" i="15" s="1"/>
  <c r="AJ29" i="15"/>
  <c r="AH29" i="15"/>
  <c r="AF29" i="15"/>
  <c r="AE29" i="15"/>
  <c r="AD29" i="15"/>
  <c r="AC29" i="15"/>
  <c r="AB29" i="15"/>
  <c r="X29" i="15"/>
  <c r="L29" i="15"/>
  <c r="J29" i="15"/>
  <c r="AI29" i="15" s="1"/>
  <c r="I29" i="15"/>
  <c r="BU27" i="15"/>
  <c r="BH27" i="15"/>
  <c r="BB27" i="15"/>
  <c r="AU27" i="15"/>
  <c r="AN27" i="15"/>
  <c r="BG27" i="15" s="1"/>
  <c r="AA27" i="15" s="1"/>
  <c r="AM27" i="15"/>
  <c r="BF27" i="15" s="1"/>
  <c r="AJ27" i="15"/>
  <c r="AH27" i="15"/>
  <c r="AQ26" i="15" s="1"/>
  <c r="AF27" i="15"/>
  <c r="AE27" i="15"/>
  <c r="AD27" i="15"/>
  <c r="AC27" i="15"/>
  <c r="AB27" i="15"/>
  <c r="Z27" i="15"/>
  <c r="X27" i="15"/>
  <c r="L27" i="15"/>
  <c r="BD27" i="15" s="1"/>
  <c r="J27" i="15"/>
  <c r="H27" i="15"/>
  <c r="L26" i="15"/>
  <c r="BU24" i="15"/>
  <c r="BH24" i="15"/>
  <c r="BB24" i="15"/>
  <c r="AU24" i="15"/>
  <c r="AN24" i="15"/>
  <c r="BG24" i="15" s="1"/>
  <c r="AA24" i="15" s="1"/>
  <c r="AM24" i="15"/>
  <c r="BF24" i="15" s="1"/>
  <c r="Z24" i="15" s="1"/>
  <c r="AJ24" i="15"/>
  <c r="AH24" i="15"/>
  <c r="AF24" i="15"/>
  <c r="AE24" i="15"/>
  <c r="AD24" i="15"/>
  <c r="AC24" i="15"/>
  <c r="AB24" i="15"/>
  <c r="X24" i="15"/>
  <c r="L24" i="15"/>
  <c r="BD24" i="15" s="1"/>
  <c r="J24" i="15"/>
  <c r="I24" i="15"/>
  <c r="H24" i="15"/>
  <c r="H23" i="15" s="1"/>
  <c r="AS23" i="15"/>
  <c r="AQ23" i="15"/>
  <c r="L23" i="15"/>
  <c r="I23" i="15"/>
  <c r="BU21" i="15"/>
  <c r="BH21" i="15"/>
  <c r="BB21" i="15"/>
  <c r="AN21" i="15"/>
  <c r="BG21" i="15" s="1"/>
  <c r="AA21" i="15" s="1"/>
  <c r="AM21" i="15"/>
  <c r="BF21" i="15" s="1"/>
  <c r="Z21" i="15" s="1"/>
  <c r="AJ21" i="15"/>
  <c r="AH21" i="15"/>
  <c r="AF21" i="15"/>
  <c r="AE21" i="15"/>
  <c r="AD21" i="15"/>
  <c r="AC21" i="15"/>
  <c r="AB21" i="15"/>
  <c r="X21" i="15"/>
  <c r="L21" i="15"/>
  <c r="BD21" i="15" s="1"/>
  <c r="J21" i="15"/>
  <c r="AI21" i="15" s="1"/>
  <c r="I21" i="15"/>
  <c r="BU19" i="15"/>
  <c r="BH19" i="15"/>
  <c r="BB19" i="15"/>
  <c r="AN19" i="15"/>
  <c r="BG19" i="15" s="1"/>
  <c r="AA19" i="15" s="1"/>
  <c r="AM19" i="15"/>
  <c r="BF19" i="15" s="1"/>
  <c r="AJ19" i="15"/>
  <c r="AH19" i="15"/>
  <c r="AF19" i="15"/>
  <c r="AE19" i="15"/>
  <c r="AD19" i="15"/>
  <c r="AC19" i="15"/>
  <c r="AB19" i="15"/>
  <c r="Z19" i="15"/>
  <c r="X19" i="15"/>
  <c r="L19" i="15"/>
  <c r="BD19" i="15" s="1"/>
  <c r="J19" i="15"/>
  <c r="I19" i="15"/>
  <c r="H19" i="15"/>
  <c r="BU17" i="15"/>
  <c r="BH17" i="15"/>
  <c r="BB17" i="15"/>
  <c r="AU17" i="15"/>
  <c r="AN17" i="15"/>
  <c r="BG17" i="15" s="1"/>
  <c r="AA17" i="15" s="1"/>
  <c r="AM17" i="15"/>
  <c r="BF17" i="15" s="1"/>
  <c r="AJ17" i="15"/>
  <c r="AI17" i="15"/>
  <c r="AH17" i="15"/>
  <c r="AF17" i="15"/>
  <c r="AE17" i="15"/>
  <c r="AD17" i="15"/>
  <c r="AC17" i="15"/>
  <c r="AB17" i="15"/>
  <c r="Z17" i="15"/>
  <c r="X17" i="15"/>
  <c r="L17" i="15"/>
  <c r="BD17" i="15" s="1"/>
  <c r="J17" i="15"/>
  <c r="I17" i="15"/>
  <c r="H17" i="15"/>
  <c r="BU15" i="15"/>
  <c r="BH15" i="15"/>
  <c r="BD15" i="15"/>
  <c r="BB15" i="15"/>
  <c r="AN15" i="15"/>
  <c r="BG15" i="15" s="1"/>
  <c r="AA15" i="15" s="1"/>
  <c r="AM15" i="15"/>
  <c r="BF15" i="15" s="1"/>
  <c r="AJ15" i="15"/>
  <c r="AH15" i="15"/>
  <c r="AF15" i="15"/>
  <c r="AE15" i="15"/>
  <c r="AD15" i="15"/>
  <c r="AC15" i="15"/>
  <c r="AB15" i="15"/>
  <c r="Z15" i="15"/>
  <c r="X15" i="15"/>
  <c r="L15" i="15"/>
  <c r="J15" i="15"/>
  <c r="I15" i="15"/>
  <c r="BU13" i="15"/>
  <c r="BH13" i="15"/>
  <c r="BD13" i="15"/>
  <c r="BB13" i="15"/>
  <c r="AN13" i="15"/>
  <c r="BG13" i="15" s="1"/>
  <c r="AA13" i="15" s="1"/>
  <c r="AM13" i="15"/>
  <c r="BF13" i="15" s="1"/>
  <c r="Z13" i="15" s="1"/>
  <c r="AJ13" i="15"/>
  <c r="AH13" i="15"/>
  <c r="AF13" i="15"/>
  <c r="AE13" i="15"/>
  <c r="AD13" i="15"/>
  <c r="AC13" i="15"/>
  <c r="AB13" i="15"/>
  <c r="X13" i="15"/>
  <c r="L13" i="15"/>
  <c r="J13" i="15"/>
  <c r="AI13" i="15" s="1"/>
  <c r="I13" i="15"/>
  <c r="AQ12" i="15"/>
  <c r="L12" i="15"/>
  <c r="AS1" i="15"/>
  <c r="AR1" i="15"/>
  <c r="AQ1" i="15"/>
  <c r="BU88" i="14"/>
  <c r="BH88" i="14"/>
  <c r="X88" i="14" s="1"/>
  <c r="BB88" i="14"/>
  <c r="AN88" i="14"/>
  <c r="AM88" i="14"/>
  <c r="BF88" i="14" s="1"/>
  <c r="AJ88" i="14"/>
  <c r="AS86" i="14" s="1"/>
  <c r="AI88" i="14"/>
  <c r="AH88" i="14"/>
  <c r="AF88" i="14"/>
  <c r="AE88" i="14"/>
  <c r="AD88" i="14"/>
  <c r="AC88" i="14"/>
  <c r="AB88" i="14"/>
  <c r="AA88" i="14"/>
  <c r="Z88" i="14"/>
  <c r="L88" i="14"/>
  <c r="BD88" i="14" s="1"/>
  <c r="J88" i="14"/>
  <c r="H88" i="14"/>
  <c r="BU87" i="14"/>
  <c r="BH87" i="14"/>
  <c r="BB87" i="14"/>
  <c r="AN87" i="14"/>
  <c r="I87" i="14" s="1"/>
  <c r="AM87" i="14"/>
  <c r="AJ87" i="14"/>
  <c r="AH87" i="14"/>
  <c r="AF87" i="14"/>
  <c r="AE87" i="14"/>
  <c r="AD87" i="14"/>
  <c r="AC87" i="14"/>
  <c r="AB87" i="14"/>
  <c r="AA87" i="14"/>
  <c r="Z87" i="14"/>
  <c r="X87" i="14"/>
  <c r="L87" i="14"/>
  <c r="BD87" i="14" s="1"/>
  <c r="J87" i="14"/>
  <c r="AI87" i="14" s="1"/>
  <c r="L86" i="14"/>
  <c r="J86" i="14"/>
  <c r="BU84" i="14"/>
  <c r="BH84" i="14"/>
  <c r="X84" i="14" s="1"/>
  <c r="BD84" i="14"/>
  <c r="BB84" i="14"/>
  <c r="AN84" i="14"/>
  <c r="BG84" i="14" s="1"/>
  <c r="AM84" i="14"/>
  <c r="BF84" i="14" s="1"/>
  <c r="AJ84" i="14"/>
  <c r="AH84" i="14"/>
  <c r="AF84" i="14"/>
  <c r="AE84" i="14"/>
  <c r="AD84" i="14"/>
  <c r="AC84" i="14"/>
  <c r="AB84" i="14"/>
  <c r="AA84" i="14"/>
  <c r="Z84" i="14"/>
  <c r="L84" i="14"/>
  <c r="J84" i="14"/>
  <c r="I84" i="14"/>
  <c r="H84" i="14"/>
  <c r="BU82" i="14"/>
  <c r="BH82" i="14"/>
  <c r="X82" i="14" s="1"/>
  <c r="BB82" i="14"/>
  <c r="AN82" i="14"/>
  <c r="AV82" i="14" s="1"/>
  <c r="AM82" i="14"/>
  <c r="BF82" i="14" s="1"/>
  <c r="AJ82" i="14"/>
  <c r="AI82" i="14"/>
  <c r="AH82" i="14"/>
  <c r="AF82" i="14"/>
  <c r="AE82" i="14"/>
  <c r="AD82" i="14"/>
  <c r="AC82" i="14"/>
  <c r="AB82" i="14"/>
  <c r="AA82" i="14"/>
  <c r="Z82" i="14"/>
  <c r="L82" i="14"/>
  <c r="BD82" i="14" s="1"/>
  <c r="J82" i="14"/>
  <c r="H82" i="14"/>
  <c r="BU81" i="14"/>
  <c r="BH81" i="14"/>
  <c r="BB81" i="14"/>
  <c r="AN81" i="14"/>
  <c r="I81" i="14" s="1"/>
  <c r="AM81" i="14"/>
  <c r="AU81" i="14" s="1"/>
  <c r="AJ81" i="14"/>
  <c r="AS80" i="14" s="1"/>
  <c r="AH81" i="14"/>
  <c r="AF81" i="14"/>
  <c r="AE81" i="14"/>
  <c r="AD81" i="14"/>
  <c r="AC81" i="14"/>
  <c r="AB81" i="14"/>
  <c r="AA81" i="14"/>
  <c r="Z81" i="14"/>
  <c r="X81" i="14"/>
  <c r="L81" i="14"/>
  <c r="BD81" i="14" s="1"/>
  <c r="J81" i="14"/>
  <c r="AI81" i="14" s="1"/>
  <c r="H81" i="14"/>
  <c r="H80" i="14" s="1"/>
  <c r="L80" i="14"/>
  <c r="BU78" i="14"/>
  <c r="BH78" i="14"/>
  <c r="BD78" i="14"/>
  <c r="BB78" i="14"/>
  <c r="AU78" i="14"/>
  <c r="AN78" i="14"/>
  <c r="BG78" i="14" s="1"/>
  <c r="AA78" i="14" s="1"/>
  <c r="AM78" i="14"/>
  <c r="BF78" i="14" s="1"/>
  <c r="AJ78" i="14"/>
  <c r="AS77" i="14" s="1"/>
  <c r="AI78" i="14"/>
  <c r="AR77" i="14" s="1"/>
  <c r="AH78" i="14"/>
  <c r="AQ77" i="14" s="1"/>
  <c r="AF78" i="14"/>
  <c r="AE78" i="14"/>
  <c r="AD78" i="14"/>
  <c r="AC78" i="14"/>
  <c r="AB78" i="14"/>
  <c r="Z78" i="14"/>
  <c r="X78" i="14"/>
  <c r="L78" i="14"/>
  <c r="J78" i="14"/>
  <c r="J77" i="14" s="1"/>
  <c r="H78" i="14"/>
  <c r="H77" i="14" s="1"/>
  <c r="L77" i="14"/>
  <c r="BU75" i="14"/>
  <c r="BH75" i="14"/>
  <c r="BB75" i="14"/>
  <c r="AN75" i="14"/>
  <c r="I75" i="14" s="1"/>
  <c r="I74" i="14" s="1"/>
  <c r="AM75" i="14"/>
  <c r="AU75" i="14" s="1"/>
  <c r="AJ75" i="14"/>
  <c r="AS74" i="14" s="1"/>
  <c r="AH75" i="14"/>
  <c r="AQ74" i="14" s="1"/>
  <c r="AF75" i="14"/>
  <c r="AE75" i="14"/>
  <c r="AD75" i="14"/>
  <c r="AC75" i="14"/>
  <c r="AB75" i="14"/>
  <c r="X75" i="14"/>
  <c r="L75" i="14"/>
  <c r="BD75" i="14" s="1"/>
  <c r="J75" i="14"/>
  <c r="AI75" i="14" s="1"/>
  <c r="AR74" i="14" s="1"/>
  <c r="L74" i="14"/>
  <c r="J74" i="14"/>
  <c r="BU72" i="14"/>
  <c r="BH72" i="14"/>
  <c r="BD72" i="14"/>
  <c r="BB72" i="14"/>
  <c r="AN72" i="14"/>
  <c r="BG72" i="14" s="1"/>
  <c r="AA72" i="14" s="1"/>
  <c r="AM72" i="14"/>
  <c r="BF72" i="14" s="1"/>
  <c r="AJ72" i="14"/>
  <c r="AH72" i="14"/>
  <c r="AF72" i="14"/>
  <c r="AE72" i="14"/>
  <c r="AD72" i="14"/>
  <c r="AC72" i="14"/>
  <c r="AB72" i="14"/>
  <c r="Z72" i="14"/>
  <c r="X72" i="14"/>
  <c r="L72" i="14"/>
  <c r="J72" i="14"/>
  <c r="AI72" i="14" s="1"/>
  <c r="I72" i="14"/>
  <c r="BU70" i="14"/>
  <c r="BH70" i="14"/>
  <c r="BB70" i="14"/>
  <c r="AN70" i="14"/>
  <c r="AM70" i="14"/>
  <c r="BF70" i="14" s="1"/>
  <c r="Z70" i="14" s="1"/>
  <c r="AJ70" i="14"/>
  <c r="AH70" i="14"/>
  <c r="AF70" i="14"/>
  <c r="AE70" i="14"/>
  <c r="AD70" i="14"/>
  <c r="AC70" i="14"/>
  <c r="AB70" i="14"/>
  <c r="X70" i="14"/>
  <c r="L70" i="14"/>
  <c r="BD70" i="14" s="1"/>
  <c r="J70" i="14"/>
  <c r="AI70" i="14" s="1"/>
  <c r="H70" i="14"/>
  <c r="BU68" i="14"/>
  <c r="BH68" i="14"/>
  <c r="BB68" i="14"/>
  <c r="AN68" i="14"/>
  <c r="I68" i="14" s="1"/>
  <c r="AM68" i="14"/>
  <c r="AJ68" i="14"/>
  <c r="AH68" i="14"/>
  <c r="AF68" i="14"/>
  <c r="AE68" i="14"/>
  <c r="AD68" i="14"/>
  <c r="AC68" i="14"/>
  <c r="AB68" i="14"/>
  <c r="X68" i="14"/>
  <c r="L68" i="14"/>
  <c r="BD68" i="14" s="1"/>
  <c r="J68" i="14"/>
  <c r="AI68" i="14" s="1"/>
  <c r="H68" i="14"/>
  <c r="BU66" i="14"/>
  <c r="BH66" i="14"/>
  <c r="BF66" i="14"/>
  <c r="Z66" i="14" s="1"/>
  <c r="BD66" i="14"/>
  <c r="BB66" i="14"/>
  <c r="AU66" i="14"/>
  <c r="AN66" i="14"/>
  <c r="I66" i="14" s="1"/>
  <c r="AM66" i="14"/>
  <c r="H66" i="14" s="1"/>
  <c r="AJ66" i="14"/>
  <c r="AH66" i="14"/>
  <c r="AF66" i="14"/>
  <c r="AE66" i="14"/>
  <c r="AD66" i="14"/>
  <c r="AC66" i="14"/>
  <c r="AB66" i="14"/>
  <c r="X66" i="14"/>
  <c r="L66" i="14"/>
  <c r="L65" i="14" s="1"/>
  <c r="J66" i="14"/>
  <c r="AS65" i="14"/>
  <c r="BU63" i="14"/>
  <c r="BH63" i="14"/>
  <c r="BB63" i="14"/>
  <c r="AU63" i="14"/>
  <c r="AN63" i="14"/>
  <c r="AM63" i="14"/>
  <c r="BF63" i="14" s="1"/>
  <c r="Z63" i="14" s="1"/>
  <c r="AJ63" i="14"/>
  <c r="AS62" i="14" s="1"/>
  <c r="AI63" i="14"/>
  <c r="AR62" i="14" s="1"/>
  <c r="AH63" i="14"/>
  <c r="AQ62" i="14" s="1"/>
  <c r="AF63" i="14"/>
  <c r="AE63" i="14"/>
  <c r="AD63" i="14"/>
  <c r="AC63" i="14"/>
  <c r="AB63" i="14"/>
  <c r="X63" i="14"/>
  <c r="L63" i="14"/>
  <c r="BD63" i="14" s="1"/>
  <c r="J63" i="14"/>
  <c r="J62" i="14" s="1"/>
  <c r="H63" i="14"/>
  <c r="H62" i="14" s="1"/>
  <c r="L62" i="14"/>
  <c r="BU60" i="14"/>
  <c r="BH60" i="14"/>
  <c r="BB60" i="14"/>
  <c r="AN60" i="14"/>
  <c r="I60" i="14" s="1"/>
  <c r="I59" i="14" s="1"/>
  <c r="AM60" i="14"/>
  <c r="H60" i="14" s="1"/>
  <c r="H59" i="14" s="1"/>
  <c r="AJ60" i="14"/>
  <c r="AS59" i="14" s="1"/>
  <c r="AH60" i="14"/>
  <c r="AQ59" i="14" s="1"/>
  <c r="AF60" i="14"/>
  <c r="AE60" i="14"/>
  <c r="AD60" i="14"/>
  <c r="AC60" i="14"/>
  <c r="AB60" i="14"/>
  <c r="X60" i="14"/>
  <c r="L60" i="14"/>
  <c r="L59" i="14" s="1"/>
  <c r="J60" i="14"/>
  <c r="AI60" i="14" s="1"/>
  <c r="AR59" i="14"/>
  <c r="BU57" i="14"/>
  <c r="BH57" i="14"/>
  <c r="BB57" i="14"/>
  <c r="AU57" i="14"/>
  <c r="AT57" i="14" s="1"/>
  <c r="AN57" i="14"/>
  <c r="AV57" i="14" s="1"/>
  <c r="AM57" i="14"/>
  <c r="BF57" i="14" s="1"/>
  <c r="AJ57" i="14"/>
  <c r="AS56" i="14" s="1"/>
  <c r="AH57" i="14"/>
  <c r="AF57" i="14"/>
  <c r="AE57" i="14"/>
  <c r="AD57" i="14"/>
  <c r="AC57" i="14"/>
  <c r="AB57" i="14"/>
  <c r="Z57" i="14"/>
  <c r="X57" i="14"/>
  <c r="L57" i="14"/>
  <c r="BD57" i="14" s="1"/>
  <c r="J57" i="14"/>
  <c r="J56" i="14" s="1"/>
  <c r="I57" i="14"/>
  <c r="I56" i="14" s="1"/>
  <c r="AQ56" i="14"/>
  <c r="L56" i="14"/>
  <c r="BU54" i="14"/>
  <c r="BH54" i="14"/>
  <c r="BF54" i="14"/>
  <c r="Z54" i="14" s="1"/>
  <c r="BD54" i="14"/>
  <c r="BB54" i="14"/>
  <c r="AU54" i="14"/>
  <c r="AN54" i="14"/>
  <c r="I54" i="14" s="1"/>
  <c r="AM54" i="14"/>
  <c r="H54" i="14" s="1"/>
  <c r="AJ54" i="14"/>
  <c r="AH54" i="14"/>
  <c r="AF54" i="14"/>
  <c r="AE54" i="14"/>
  <c r="AD54" i="14"/>
  <c r="AC54" i="14"/>
  <c r="AB54" i="14"/>
  <c r="X54" i="14"/>
  <c r="L54" i="14"/>
  <c r="J54" i="14"/>
  <c r="AI54" i="14" s="1"/>
  <c r="BU52" i="14"/>
  <c r="BH52" i="14"/>
  <c r="BD52" i="14"/>
  <c r="BB52" i="14"/>
  <c r="AV52" i="14"/>
  <c r="AN52" i="14"/>
  <c r="BG52" i="14" s="1"/>
  <c r="AA52" i="14" s="1"/>
  <c r="AM52" i="14"/>
  <c r="H52" i="14" s="1"/>
  <c r="H49" i="14" s="1"/>
  <c r="AJ52" i="14"/>
  <c r="AH52" i="14"/>
  <c r="AF52" i="14"/>
  <c r="AE52" i="14"/>
  <c r="AD52" i="14"/>
  <c r="AC52" i="14"/>
  <c r="AB52" i="14"/>
  <c r="X52" i="14"/>
  <c r="L52" i="14"/>
  <c r="J52" i="14"/>
  <c r="AI52" i="14" s="1"/>
  <c r="I52" i="14"/>
  <c r="BU50" i="14"/>
  <c r="BH50" i="14"/>
  <c r="BB50" i="14"/>
  <c r="AU50" i="14"/>
  <c r="AN50" i="14"/>
  <c r="AM50" i="14"/>
  <c r="BF50" i="14" s="1"/>
  <c r="Z50" i="14" s="1"/>
  <c r="AJ50" i="14"/>
  <c r="AS49" i="14" s="1"/>
  <c r="AI50" i="14"/>
  <c r="AH50" i="14"/>
  <c r="AF50" i="14"/>
  <c r="AE50" i="14"/>
  <c r="AD50" i="14"/>
  <c r="AC50" i="14"/>
  <c r="AB50" i="14"/>
  <c r="X50" i="14"/>
  <c r="L50" i="14"/>
  <c r="BD50" i="14" s="1"/>
  <c r="J50" i="14"/>
  <c r="H50" i="14"/>
  <c r="AQ49" i="14"/>
  <c r="L49" i="14"/>
  <c r="BU47" i="14"/>
  <c r="BH47" i="14"/>
  <c r="BF47" i="14"/>
  <c r="Z47" i="14" s="1"/>
  <c r="BB47" i="14"/>
  <c r="AU47" i="14"/>
  <c r="AN47" i="14"/>
  <c r="BG47" i="14" s="1"/>
  <c r="AA47" i="14" s="1"/>
  <c r="AM47" i="14"/>
  <c r="H47" i="14" s="1"/>
  <c r="AJ47" i="14"/>
  <c r="AH47" i="14"/>
  <c r="AF47" i="14"/>
  <c r="AE47" i="14"/>
  <c r="AD47" i="14"/>
  <c r="AC47" i="14"/>
  <c r="AB47" i="14"/>
  <c r="X47" i="14"/>
  <c r="L47" i="14"/>
  <c r="BD47" i="14" s="1"/>
  <c r="J47" i="14"/>
  <c r="AI47" i="14" s="1"/>
  <c r="I47" i="14"/>
  <c r="BU45" i="14"/>
  <c r="BH45" i="14"/>
  <c r="BD45" i="14"/>
  <c r="BB45" i="14"/>
  <c r="AN45" i="14"/>
  <c r="BG45" i="14" s="1"/>
  <c r="AM45" i="14"/>
  <c r="BF45" i="14" s="1"/>
  <c r="Z45" i="14" s="1"/>
  <c r="AJ45" i="14"/>
  <c r="AH45" i="14"/>
  <c r="AF45" i="14"/>
  <c r="AE45" i="14"/>
  <c r="AD45" i="14"/>
  <c r="AC45" i="14"/>
  <c r="AB45" i="14"/>
  <c r="AA45" i="14"/>
  <c r="X45" i="14"/>
  <c r="L45" i="14"/>
  <c r="J45" i="14"/>
  <c r="AI45" i="14" s="1"/>
  <c r="I45" i="14"/>
  <c r="BU43" i="14"/>
  <c r="BH43" i="14"/>
  <c r="BG43" i="14"/>
  <c r="AA43" i="14" s="1"/>
  <c r="BB43" i="14"/>
  <c r="AU43" i="14"/>
  <c r="BA43" i="14" s="1"/>
  <c r="AT43" i="14"/>
  <c r="AN43" i="14"/>
  <c r="AV43" i="14" s="1"/>
  <c r="AM43" i="14"/>
  <c r="BF43" i="14" s="1"/>
  <c r="AJ43" i="14"/>
  <c r="AI43" i="14"/>
  <c r="AH43" i="14"/>
  <c r="AF43" i="14"/>
  <c r="AE43" i="14"/>
  <c r="AD43" i="14"/>
  <c r="AC43" i="14"/>
  <c r="AB43" i="14"/>
  <c r="Z43" i="14"/>
  <c r="X43" i="14"/>
  <c r="L43" i="14"/>
  <c r="BD43" i="14" s="1"/>
  <c r="J43" i="14"/>
  <c r="I43" i="14"/>
  <c r="H43" i="14"/>
  <c r="BU41" i="14"/>
  <c r="BH41" i="14"/>
  <c r="BB41" i="14"/>
  <c r="AN41" i="14"/>
  <c r="I41" i="14" s="1"/>
  <c r="AM41" i="14"/>
  <c r="AU41" i="14" s="1"/>
  <c r="AJ41" i="14"/>
  <c r="AH41" i="14"/>
  <c r="AF41" i="14"/>
  <c r="AE41" i="14"/>
  <c r="AD41" i="14"/>
  <c r="AC41" i="14"/>
  <c r="AB41" i="14"/>
  <c r="X41" i="14"/>
  <c r="L41" i="14"/>
  <c r="BD41" i="14" s="1"/>
  <c r="J41" i="14"/>
  <c r="AI41" i="14" s="1"/>
  <c r="L40" i="14"/>
  <c r="BU38" i="14"/>
  <c r="BH38" i="14"/>
  <c r="BD38" i="14"/>
  <c r="BB38" i="14"/>
  <c r="AN38" i="14"/>
  <c r="BG38" i="14" s="1"/>
  <c r="AA38" i="14" s="1"/>
  <c r="AM38" i="14"/>
  <c r="BF38" i="14" s="1"/>
  <c r="Z38" i="14" s="1"/>
  <c r="AJ38" i="14"/>
  <c r="AS35" i="14" s="1"/>
  <c r="AH38" i="14"/>
  <c r="AF38" i="14"/>
  <c r="AE38" i="14"/>
  <c r="AD38" i="14"/>
  <c r="AC38" i="14"/>
  <c r="AB38" i="14"/>
  <c r="X38" i="14"/>
  <c r="L38" i="14"/>
  <c r="J38" i="14"/>
  <c r="I38" i="14"/>
  <c r="H38" i="14"/>
  <c r="BU36" i="14"/>
  <c r="BH36" i="14"/>
  <c r="BB36" i="14"/>
  <c r="AN36" i="14"/>
  <c r="AV36" i="14" s="1"/>
  <c r="AM36" i="14"/>
  <c r="BF36" i="14" s="1"/>
  <c r="Z36" i="14" s="1"/>
  <c r="AJ36" i="14"/>
  <c r="AH36" i="14"/>
  <c r="AF36" i="14"/>
  <c r="AE36" i="14"/>
  <c r="AD36" i="14"/>
  <c r="AC36" i="14"/>
  <c r="AB36" i="14"/>
  <c r="X36" i="14"/>
  <c r="L36" i="14"/>
  <c r="BD36" i="14" s="1"/>
  <c r="J36" i="14"/>
  <c r="AI36" i="14" s="1"/>
  <c r="AQ35" i="14"/>
  <c r="L35" i="14"/>
  <c r="BU33" i="14"/>
  <c r="BH33" i="14"/>
  <c r="BF33" i="14"/>
  <c r="Z33" i="14" s="1"/>
  <c r="BD33" i="14"/>
  <c r="BB33" i="14"/>
  <c r="AV33" i="14"/>
  <c r="AU33" i="14"/>
  <c r="AN33" i="14"/>
  <c r="BG33" i="14" s="1"/>
  <c r="AA33" i="14" s="1"/>
  <c r="AM33" i="14"/>
  <c r="H33" i="14" s="1"/>
  <c r="AJ33" i="14"/>
  <c r="AH33" i="14"/>
  <c r="AF33" i="14"/>
  <c r="AE33" i="14"/>
  <c r="AD33" i="14"/>
  <c r="AC33" i="14"/>
  <c r="AB33" i="14"/>
  <c r="X33" i="14"/>
  <c r="L33" i="14"/>
  <c r="J33" i="14"/>
  <c r="AI33" i="14" s="1"/>
  <c r="I33" i="14"/>
  <c r="BU31" i="14"/>
  <c r="BH31" i="14"/>
  <c r="BD31" i="14"/>
  <c r="BB31" i="14"/>
  <c r="AN31" i="14"/>
  <c r="BG31" i="14" s="1"/>
  <c r="AA31" i="14" s="1"/>
  <c r="AM31" i="14"/>
  <c r="BF31" i="14" s="1"/>
  <c r="Z31" i="14" s="1"/>
  <c r="AJ31" i="14"/>
  <c r="AH31" i="14"/>
  <c r="AF31" i="14"/>
  <c r="AE31" i="14"/>
  <c r="AD31" i="14"/>
  <c r="AC31" i="14"/>
  <c r="AB31" i="14"/>
  <c r="X31" i="14"/>
  <c r="L31" i="14"/>
  <c r="J31" i="14"/>
  <c r="AI31" i="14" s="1"/>
  <c r="BU29" i="14"/>
  <c r="BH29" i="14"/>
  <c r="BB29" i="14"/>
  <c r="AN29" i="14"/>
  <c r="AV29" i="14" s="1"/>
  <c r="AM29" i="14"/>
  <c r="AJ29" i="14"/>
  <c r="AS26" i="14" s="1"/>
  <c r="AH29" i="14"/>
  <c r="AF29" i="14"/>
  <c r="AE29" i="14"/>
  <c r="AD29" i="14"/>
  <c r="AC29" i="14"/>
  <c r="AB29" i="14"/>
  <c r="X29" i="14"/>
  <c r="L29" i="14"/>
  <c r="BD29" i="14" s="1"/>
  <c r="J29" i="14"/>
  <c r="AI29" i="14" s="1"/>
  <c r="H29" i="14"/>
  <c r="BU27" i="14"/>
  <c r="BH27" i="14"/>
  <c r="BB27" i="14"/>
  <c r="AN27" i="14"/>
  <c r="I27" i="14" s="1"/>
  <c r="AM27" i="14"/>
  <c r="AU27" i="14" s="1"/>
  <c r="AJ27" i="14"/>
  <c r="AH27" i="14"/>
  <c r="AF27" i="14"/>
  <c r="AE27" i="14"/>
  <c r="AD27" i="14"/>
  <c r="AC27" i="14"/>
  <c r="AB27" i="14"/>
  <c r="X27" i="14"/>
  <c r="L27" i="14"/>
  <c r="BD27" i="14" s="1"/>
  <c r="J27" i="14"/>
  <c r="AI27" i="14" s="1"/>
  <c r="L26" i="14"/>
  <c r="BU24" i="14"/>
  <c r="BH24" i="14"/>
  <c r="BD24" i="14"/>
  <c r="BB24" i="14"/>
  <c r="AN24" i="14"/>
  <c r="BG24" i="14" s="1"/>
  <c r="AM24" i="14"/>
  <c r="BF24" i="14" s="1"/>
  <c r="Z24" i="14" s="1"/>
  <c r="AJ24" i="14"/>
  <c r="AS23" i="14" s="1"/>
  <c r="AH24" i="14"/>
  <c r="AF24" i="14"/>
  <c r="AE24" i="14"/>
  <c r="AD24" i="14"/>
  <c r="AC24" i="14"/>
  <c r="AB24" i="14"/>
  <c r="AA24" i="14"/>
  <c r="X24" i="14"/>
  <c r="L24" i="14"/>
  <c r="J24" i="14"/>
  <c r="J23" i="14" s="1"/>
  <c r="I24" i="14"/>
  <c r="I23" i="14" s="1"/>
  <c r="AQ23" i="14"/>
  <c r="L23" i="14"/>
  <c r="BU21" i="14"/>
  <c r="BH21" i="14"/>
  <c r="BB21" i="14"/>
  <c r="AN21" i="14"/>
  <c r="I21" i="14" s="1"/>
  <c r="AM21" i="14"/>
  <c r="AU21" i="14" s="1"/>
  <c r="AJ21" i="14"/>
  <c r="AH21" i="14"/>
  <c r="AF21" i="14"/>
  <c r="AE21" i="14"/>
  <c r="AD21" i="14"/>
  <c r="AC21" i="14"/>
  <c r="AB21" i="14"/>
  <c r="X21" i="14"/>
  <c r="L21" i="14"/>
  <c r="BD21" i="14" s="1"/>
  <c r="J21" i="14"/>
  <c r="AI21" i="14" s="1"/>
  <c r="BU19" i="14"/>
  <c r="BH19" i="14"/>
  <c r="BB19" i="14"/>
  <c r="AN19" i="14"/>
  <c r="BG19" i="14" s="1"/>
  <c r="AA19" i="14" s="1"/>
  <c r="AM19" i="14"/>
  <c r="H19" i="14" s="1"/>
  <c r="AJ19" i="14"/>
  <c r="AH19" i="14"/>
  <c r="AF19" i="14"/>
  <c r="AE19" i="14"/>
  <c r="AD19" i="14"/>
  <c r="AC19" i="14"/>
  <c r="AB19" i="14"/>
  <c r="X19" i="14"/>
  <c r="L19" i="14"/>
  <c r="BD19" i="14" s="1"/>
  <c r="J19" i="14"/>
  <c r="AI19" i="14" s="1"/>
  <c r="BU17" i="14"/>
  <c r="BH17" i="14"/>
  <c r="BD17" i="14"/>
  <c r="BB17" i="14"/>
  <c r="AN17" i="14"/>
  <c r="BG17" i="14" s="1"/>
  <c r="AM17" i="14"/>
  <c r="BF17" i="14" s="1"/>
  <c r="Z17" i="14" s="1"/>
  <c r="AJ17" i="14"/>
  <c r="AH17" i="14"/>
  <c r="AF17" i="14"/>
  <c r="AE17" i="14"/>
  <c r="AD17" i="14"/>
  <c r="AC17" i="14"/>
  <c r="AB17" i="14"/>
  <c r="AA17" i="14"/>
  <c r="X17" i="14"/>
  <c r="L17" i="14"/>
  <c r="J17" i="14"/>
  <c r="AI17" i="14" s="1"/>
  <c r="I17" i="14"/>
  <c r="BU15" i="14"/>
  <c r="BH15" i="14"/>
  <c r="BB15" i="14"/>
  <c r="AN15" i="14"/>
  <c r="AV15" i="14" s="1"/>
  <c r="AM15" i="14"/>
  <c r="BF15" i="14" s="1"/>
  <c r="AJ15" i="14"/>
  <c r="AI15" i="14"/>
  <c r="AH15" i="14"/>
  <c r="AF15" i="14"/>
  <c r="AE15" i="14"/>
  <c r="AD15" i="14"/>
  <c r="AC15" i="14"/>
  <c r="AB15" i="14"/>
  <c r="Z15" i="14"/>
  <c r="X15" i="14"/>
  <c r="L15" i="14"/>
  <c r="BD15" i="14" s="1"/>
  <c r="J15" i="14"/>
  <c r="I15" i="14"/>
  <c r="H15" i="14"/>
  <c r="BU13" i="14"/>
  <c r="BH13" i="14"/>
  <c r="BF13" i="14"/>
  <c r="Z13" i="14" s="1"/>
  <c r="BB13" i="14"/>
  <c r="AN13" i="14"/>
  <c r="I13" i="14" s="1"/>
  <c r="AM13" i="14"/>
  <c r="AU13" i="14" s="1"/>
  <c r="AJ13" i="14"/>
  <c r="AH13" i="14"/>
  <c r="AQ12" i="14" s="1"/>
  <c r="AF13" i="14"/>
  <c r="AE13" i="14"/>
  <c r="AD13" i="14"/>
  <c r="AC13" i="14"/>
  <c r="AB13" i="14"/>
  <c r="X13" i="14"/>
  <c r="L13" i="14"/>
  <c r="BD13" i="14" s="1"/>
  <c r="J13" i="14"/>
  <c r="AI13" i="14" s="1"/>
  <c r="H13" i="14"/>
  <c r="AS1" i="14"/>
  <c r="AR1" i="14"/>
  <c r="AQ1" i="14"/>
  <c r="BU90" i="13"/>
  <c r="BH90" i="13"/>
  <c r="X90" i="13" s="1"/>
  <c r="BB90" i="13"/>
  <c r="AN90" i="13"/>
  <c r="AV90" i="13" s="1"/>
  <c r="AM90" i="13"/>
  <c r="BF90" i="13" s="1"/>
  <c r="AJ90" i="13"/>
  <c r="AI90" i="13"/>
  <c r="AH90" i="13"/>
  <c r="AF90" i="13"/>
  <c r="AE90" i="13"/>
  <c r="AD90" i="13"/>
  <c r="AC90" i="13"/>
  <c r="AB90" i="13"/>
  <c r="AA90" i="13"/>
  <c r="Z90" i="13"/>
  <c r="L90" i="13"/>
  <c r="BD90" i="13" s="1"/>
  <c r="J90" i="13"/>
  <c r="J88" i="13" s="1"/>
  <c r="I90" i="13"/>
  <c r="H90" i="13"/>
  <c r="BU89" i="13"/>
  <c r="BH89" i="13"/>
  <c r="BB89" i="13"/>
  <c r="AN89" i="13"/>
  <c r="I89" i="13" s="1"/>
  <c r="AM89" i="13"/>
  <c r="AJ89" i="13"/>
  <c r="AH89" i="13"/>
  <c r="AQ88" i="13" s="1"/>
  <c r="AF89" i="13"/>
  <c r="AE89" i="13"/>
  <c r="AD89" i="13"/>
  <c r="AC89" i="13"/>
  <c r="AB89" i="13"/>
  <c r="AA89" i="13"/>
  <c r="Z89" i="13"/>
  <c r="X89" i="13"/>
  <c r="L89" i="13"/>
  <c r="BD89" i="13" s="1"/>
  <c r="J89" i="13"/>
  <c r="AI89" i="13" s="1"/>
  <c r="AS88" i="13"/>
  <c r="L88" i="13"/>
  <c r="BU86" i="13"/>
  <c r="BH86" i="13"/>
  <c r="X86" i="13" s="1"/>
  <c r="BD86" i="13"/>
  <c r="BB86" i="13"/>
  <c r="AN86" i="13"/>
  <c r="BG86" i="13" s="1"/>
  <c r="AM86" i="13"/>
  <c r="BF86" i="13" s="1"/>
  <c r="AJ86" i="13"/>
  <c r="AH86" i="13"/>
  <c r="AF86" i="13"/>
  <c r="AE86" i="13"/>
  <c r="AD86" i="13"/>
  <c r="AC86" i="13"/>
  <c r="AB86" i="13"/>
  <c r="AA86" i="13"/>
  <c r="Z86" i="13"/>
  <c r="L86" i="13"/>
  <c r="J86" i="13"/>
  <c r="I86" i="13"/>
  <c r="BU84" i="13"/>
  <c r="BH84" i="13"/>
  <c r="X84" i="13" s="1"/>
  <c r="BB84" i="13"/>
  <c r="AN84" i="13"/>
  <c r="AV84" i="13" s="1"/>
  <c r="AM84" i="13"/>
  <c r="BF84" i="13" s="1"/>
  <c r="AJ84" i="13"/>
  <c r="AI84" i="13"/>
  <c r="AH84" i="13"/>
  <c r="AF84" i="13"/>
  <c r="AE84" i="13"/>
  <c r="AD84" i="13"/>
  <c r="AC84" i="13"/>
  <c r="AB84" i="13"/>
  <c r="AA84" i="13"/>
  <c r="Z84" i="13"/>
  <c r="L84" i="13"/>
  <c r="BD84" i="13" s="1"/>
  <c r="J84" i="13"/>
  <c r="I84" i="13"/>
  <c r="H84" i="13"/>
  <c r="BU83" i="13"/>
  <c r="BH83" i="13"/>
  <c r="BG83" i="13"/>
  <c r="BB83" i="13"/>
  <c r="AV83" i="13"/>
  <c r="AN83" i="13"/>
  <c r="I83" i="13" s="1"/>
  <c r="AM83" i="13"/>
  <c r="AU83" i="13" s="1"/>
  <c r="BA83" i="13" s="1"/>
  <c r="AJ83" i="13"/>
  <c r="AH83" i="13"/>
  <c r="AQ82" i="13" s="1"/>
  <c r="AF83" i="13"/>
  <c r="AE83" i="13"/>
  <c r="AD83" i="13"/>
  <c r="AC83" i="13"/>
  <c r="AB83" i="13"/>
  <c r="AA83" i="13"/>
  <c r="Z83" i="13"/>
  <c r="X83" i="13"/>
  <c r="L83" i="13"/>
  <c r="BD83" i="13" s="1"/>
  <c r="J83" i="13"/>
  <c r="AI83" i="13" s="1"/>
  <c r="AS82" i="13"/>
  <c r="L82" i="13"/>
  <c r="BU80" i="13"/>
  <c r="BH80" i="13"/>
  <c r="BD80" i="13"/>
  <c r="BB80" i="13"/>
  <c r="AN80" i="13"/>
  <c r="BG80" i="13" s="1"/>
  <c r="AA80" i="13" s="1"/>
  <c r="AM80" i="13"/>
  <c r="BF80" i="13" s="1"/>
  <c r="Z80" i="13" s="1"/>
  <c r="AJ80" i="13"/>
  <c r="AS79" i="13" s="1"/>
  <c r="AH80" i="13"/>
  <c r="AF80" i="13"/>
  <c r="AE80" i="13"/>
  <c r="AD80" i="13"/>
  <c r="AC80" i="13"/>
  <c r="AB80" i="13"/>
  <c r="X80" i="13"/>
  <c r="L80" i="13"/>
  <c r="J80" i="13"/>
  <c r="J79" i="13" s="1"/>
  <c r="AQ79" i="13"/>
  <c r="L79" i="13"/>
  <c r="BU77" i="13"/>
  <c r="BH77" i="13"/>
  <c r="BB77" i="13"/>
  <c r="AN77" i="13"/>
  <c r="I77" i="13" s="1"/>
  <c r="I76" i="13" s="1"/>
  <c r="AM77" i="13"/>
  <c r="AU77" i="13" s="1"/>
  <c r="AJ77" i="13"/>
  <c r="AH77" i="13"/>
  <c r="AQ76" i="13" s="1"/>
  <c r="AF77" i="13"/>
  <c r="AE77" i="13"/>
  <c r="AD77" i="13"/>
  <c r="AC77" i="13"/>
  <c r="AB77" i="13"/>
  <c r="X77" i="13"/>
  <c r="L77" i="13"/>
  <c r="BD77" i="13" s="1"/>
  <c r="J77" i="13"/>
  <c r="AI77" i="13" s="1"/>
  <c r="AR76" i="13" s="1"/>
  <c r="AS76" i="13"/>
  <c r="L76" i="13"/>
  <c r="J76" i="13"/>
  <c r="BU74" i="13"/>
  <c r="BH74" i="13"/>
  <c r="BD74" i="13"/>
  <c r="BB74" i="13"/>
  <c r="AU74" i="13"/>
  <c r="AN74" i="13"/>
  <c r="BG74" i="13" s="1"/>
  <c r="AA74" i="13" s="1"/>
  <c r="AM74" i="13"/>
  <c r="BF74" i="13" s="1"/>
  <c r="AJ74" i="13"/>
  <c r="AH74" i="13"/>
  <c r="AF74" i="13"/>
  <c r="AE74" i="13"/>
  <c r="AD74" i="13"/>
  <c r="AC74" i="13"/>
  <c r="AB74" i="13"/>
  <c r="Z74" i="13"/>
  <c r="X74" i="13"/>
  <c r="L74" i="13"/>
  <c r="J74" i="13"/>
  <c r="AI74" i="13" s="1"/>
  <c r="H74" i="13"/>
  <c r="BU72" i="13"/>
  <c r="BH72" i="13"/>
  <c r="BB72" i="13"/>
  <c r="AN72" i="13"/>
  <c r="AV72" i="13" s="1"/>
  <c r="AM72" i="13"/>
  <c r="BF72" i="13" s="1"/>
  <c r="Z72" i="13" s="1"/>
  <c r="AJ72" i="13"/>
  <c r="AH72" i="13"/>
  <c r="AF72" i="13"/>
  <c r="AE72" i="13"/>
  <c r="AD72" i="13"/>
  <c r="AC72" i="13"/>
  <c r="AB72" i="13"/>
  <c r="X72" i="13"/>
  <c r="L72" i="13"/>
  <c r="BD72" i="13" s="1"/>
  <c r="J72" i="13"/>
  <c r="AI72" i="13" s="1"/>
  <c r="H72" i="13"/>
  <c r="BU70" i="13"/>
  <c r="BH70" i="13"/>
  <c r="BF70" i="13"/>
  <c r="Z70" i="13" s="1"/>
  <c r="BB70" i="13"/>
  <c r="AN70" i="13"/>
  <c r="I70" i="13" s="1"/>
  <c r="AM70" i="13"/>
  <c r="AU70" i="13" s="1"/>
  <c r="AJ70" i="13"/>
  <c r="AH70" i="13"/>
  <c r="AF70" i="13"/>
  <c r="AE70" i="13"/>
  <c r="AD70" i="13"/>
  <c r="AC70" i="13"/>
  <c r="AB70" i="13"/>
  <c r="X70" i="13"/>
  <c r="L70" i="13"/>
  <c r="BD70" i="13" s="1"/>
  <c r="J70" i="13"/>
  <c r="AI70" i="13" s="1"/>
  <c r="H70" i="13"/>
  <c r="BU68" i="13"/>
  <c r="BH68" i="13"/>
  <c r="BD68" i="13"/>
  <c r="BB68" i="13"/>
  <c r="AN68" i="13"/>
  <c r="BG68" i="13" s="1"/>
  <c r="AA68" i="13" s="1"/>
  <c r="AM68" i="13"/>
  <c r="H68" i="13" s="1"/>
  <c r="AJ68" i="13"/>
  <c r="AS67" i="13" s="1"/>
  <c r="AH68" i="13"/>
  <c r="AF68" i="13"/>
  <c r="AE68" i="13"/>
  <c r="AD68" i="13"/>
  <c r="AC68" i="13"/>
  <c r="AB68" i="13"/>
  <c r="X68" i="13"/>
  <c r="L68" i="13"/>
  <c r="J68" i="13"/>
  <c r="AI68" i="13" s="1"/>
  <c r="I68" i="13"/>
  <c r="BU65" i="13"/>
  <c r="BH65" i="13"/>
  <c r="BB65" i="13"/>
  <c r="AN65" i="13"/>
  <c r="AV65" i="13" s="1"/>
  <c r="AM65" i="13"/>
  <c r="BF65" i="13" s="1"/>
  <c r="Z65" i="13" s="1"/>
  <c r="AJ65" i="13"/>
  <c r="AH65" i="13"/>
  <c r="AQ64" i="13" s="1"/>
  <c r="AF65" i="13"/>
  <c r="AE65" i="13"/>
  <c r="AD65" i="13"/>
  <c r="AC65" i="13"/>
  <c r="AB65" i="13"/>
  <c r="X65" i="13"/>
  <c r="L65" i="13"/>
  <c r="BD65" i="13" s="1"/>
  <c r="J65" i="13"/>
  <c r="J64" i="13" s="1"/>
  <c r="AS64" i="13"/>
  <c r="L64" i="13"/>
  <c r="BU62" i="13"/>
  <c r="BH62" i="13"/>
  <c r="BD62" i="13"/>
  <c r="BB62" i="13"/>
  <c r="AN62" i="13"/>
  <c r="BG62" i="13" s="1"/>
  <c r="AA62" i="13" s="1"/>
  <c r="AM62" i="13"/>
  <c r="H62" i="13" s="1"/>
  <c r="H61" i="13" s="1"/>
  <c r="AJ62" i="13"/>
  <c r="AS61" i="13" s="1"/>
  <c r="AH62" i="13"/>
  <c r="AQ61" i="13" s="1"/>
  <c r="AF62" i="13"/>
  <c r="AE62" i="13"/>
  <c r="AD62" i="13"/>
  <c r="AC62" i="13"/>
  <c r="AB62" i="13"/>
  <c r="X62" i="13"/>
  <c r="L62" i="13"/>
  <c r="L61" i="13" s="1"/>
  <c r="J62" i="13"/>
  <c r="AI62" i="13" s="1"/>
  <c r="AR61" i="13" s="1"/>
  <c r="I62" i="13"/>
  <c r="I61" i="13" s="1"/>
  <c r="BU59" i="13"/>
  <c r="BH59" i="13"/>
  <c r="BB59" i="13"/>
  <c r="AN59" i="13"/>
  <c r="AV59" i="13" s="1"/>
  <c r="AM59" i="13"/>
  <c r="BF59" i="13" s="1"/>
  <c r="Z59" i="13" s="1"/>
  <c r="AJ59" i="13"/>
  <c r="AH59" i="13"/>
  <c r="AF59" i="13"/>
  <c r="AE59" i="13"/>
  <c r="AD59" i="13"/>
  <c r="AC59" i="13"/>
  <c r="AB59" i="13"/>
  <c r="X59" i="13"/>
  <c r="L59" i="13"/>
  <c r="BD59" i="13" s="1"/>
  <c r="J59" i="13"/>
  <c r="AI59" i="13" s="1"/>
  <c r="AR58" i="13" s="1"/>
  <c r="H59" i="13"/>
  <c r="H58" i="13" s="1"/>
  <c r="AS58" i="13"/>
  <c r="AQ58" i="13"/>
  <c r="L58" i="13"/>
  <c r="J58" i="13"/>
  <c r="BU56" i="13"/>
  <c r="BH56" i="13"/>
  <c r="BB56" i="13"/>
  <c r="AN56" i="13"/>
  <c r="BG56" i="13" s="1"/>
  <c r="AA56" i="13" s="1"/>
  <c r="AM56" i="13"/>
  <c r="AJ56" i="13"/>
  <c r="AH56" i="13"/>
  <c r="AF56" i="13"/>
  <c r="AE56" i="13"/>
  <c r="AD56" i="13"/>
  <c r="AC56" i="13"/>
  <c r="AB56" i="13"/>
  <c r="X56" i="13"/>
  <c r="L56" i="13"/>
  <c r="BD56" i="13" s="1"/>
  <c r="J56" i="13"/>
  <c r="AI56" i="13" s="1"/>
  <c r="BU54" i="13"/>
  <c r="BH54" i="13"/>
  <c r="BD54" i="13"/>
  <c r="BB54" i="13"/>
  <c r="AN54" i="13"/>
  <c r="BG54" i="13" s="1"/>
  <c r="AA54" i="13" s="1"/>
  <c r="AM54" i="13"/>
  <c r="BF54" i="13" s="1"/>
  <c r="Z54" i="13" s="1"/>
  <c r="AJ54" i="13"/>
  <c r="AH54" i="13"/>
  <c r="AQ51" i="13" s="1"/>
  <c r="AF54" i="13"/>
  <c r="AE54" i="13"/>
  <c r="AD54" i="13"/>
  <c r="AC54" i="13"/>
  <c r="AB54" i="13"/>
  <c r="X54" i="13"/>
  <c r="L54" i="13"/>
  <c r="J54" i="13"/>
  <c r="AI54" i="13" s="1"/>
  <c r="I54" i="13"/>
  <c r="BU52" i="13"/>
  <c r="BH52" i="13"/>
  <c r="BB52" i="13"/>
  <c r="AN52" i="13"/>
  <c r="AV52" i="13" s="1"/>
  <c r="AM52" i="13"/>
  <c r="BF52" i="13" s="1"/>
  <c r="AJ52" i="13"/>
  <c r="AI52" i="13"/>
  <c r="AH52" i="13"/>
  <c r="AF52" i="13"/>
  <c r="AE52" i="13"/>
  <c r="AD52" i="13"/>
  <c r="AC52" i="13"/>
  <c r="AB52" i="13"/>
  <c r="Z52" i="13"/>
  <c r="X52" i="13"/>
  <c r="L52" i="13"/>
  <c r="BD52" i="13" s="1"/>
  <c r="J52" i="13"/>
  <c r="I52" i="13"/>
  <c r="H52" i="13"/>
  <c r="BU49" i="13"/>
  <c r="BH49" i="13"/>
  <c r="BF49" i="13"/>
  <c r="Z49" i="13" s="1"/>
  <c r="BD49" i="13"/>
  <c r="BB49" i="13"/>
  <c r="AV49" i="13"/>
  <c r="AU49" i="13"/>
  <c r="AN49" i="13"/>
  <c r="BG49" i="13" s="1"/>
  <c r="AA49" i="13" s="1"/>
  <c r="AM49" i="13"/>
  <c r="H49" i="13" s="1"/>
  <c r="AJ49" i="13"/>
  <c r="AH49" i="13"/>
  <c r="AF49" i="13"/>
  <c r="AE49" i="13"/>
  <c r="AD49" i="13"/>
  <c r="AC49" i="13"/>
  <c r="AB49" i="13"/>
  <c r="X49" i="13"/>
  <c r="L49" i="13"/>
  <c r="J49" i="13"/>
  <c r="AI49" i="13" s="1"/>
  <c r="I49" i="13"/>
  <c r="BU47" i="13"/>
  <c r="BH47" i="13"/>
  <c r="BD47" i="13"/>
  <c r="BB47" i="13"/>
  <c r="AN47" i="13"/>
  <c r="BG47" i="13" s="1"/>
  <c r="AA47" i="13" s="1"/>
  <c r="AM47" i="13"/>
  <c r="BF47" i="13" s="1"/>
  <c r="AJ47" i="13"/>
  <c r="AH47" i="13"/>
  <c r="AF47" i="13"/>
  <c r="AE47" i="13"/>
  <c r="AD47" i="13"/>
  <c r="AC47" i="13"/>
  <c r="AB47" i="13"/>
  <c r="Z47" i="13"/>
  <c r="X47" i="13"/>
  <c r="L47" i="13"/>
  <c r="J47" i="13"/>
  <c r="AI47" i="13" s="1"/>
  <c r="I47" i="13"/>
  <c r="BU45" i="13"/>
  <c r="BH45" i="13"/>
  <c r="BB45" i="13"/>
  <c r="AN45" i="13"/>
  <c r="AV45" i="13" s="1"/>
  <c r="AM45" i="13"/>
  <c r="BF45" i="13" s="1"/>
  <c r="Z45" i="13" s="1"/>
  <c r="AJ45" i="13"/>
  <c r="AI45" i="13"/>
  <c r="AH45" i="13"/>
  <c r="AF45" i="13"/>
  <c r="AE45" i="13"/>
  <c r="AD45" i="13"/>
  <c r="AC45" i="13"/>
  <c r="AB45" i="13"/>
  <c r="X45" i="13"/>
  <c r="L45" i="13"/>
  <c r="BD45" i="13" s="1"/>
  <c r="J45" i="13"/>
  <c r="H45" i="13"/>
  <c r="BU43" i="13"/>
  <c r="BH43" i="13"/>
  <c r="BB43" i="13"/>
  <c r="AN43" i="13"/>
  <c r="I43" i="13" s="1"/>
  <c r="AM43" i="13"/>
  <c r="AU43" i="13" s="1"/>
  <c r="AJ43" i="13"/>
  <c r="AH43" i="13"/>
  <c r="AF43" i="13"/>
  <c r="AE43" i="13"/>
  <c r="AD43" i="13"/>
  <c r="AC43" i="13"/>
  <c r="AB43" i="13"/>
  <c r="X43" i="13"/>
  <c r="L43" i="13"/>
  <c r="BD43" i="13" s="1"/>
  <c r="J43" i="13"/>
  <c r="AI43" i="13" s="1"/>
  <c r="BU41" i="13"/>
  <c r="BH41" i="13"/>
  <c r="BD41" i="13"/>
  <c r="BB41" i="13"/>
  <c r="AV41" i="13"/>
  <c r="AN41" i="13"/>
  <c r="BG41" i="13" s="1"/>
  <c r="AA41" i="13" s="1"/>
  <c r="AM41" i="13"/>
  <c r="H41" i="13" s="1"/>
  <c r="AJ41" i="13"/>
  <c r="AH41" i="13"/>
  <c r="AQ38" i="13" s="1"/>
  <c r="AF41" i="13"/>
  <c r="AE41" i="13"/>
  <c r="AD41" i="13"/>
  <c r="AC41" i="13"/>
  <c r="AB41" i="13"/>
  <c r="X41" i="13"/>
  <c r="L41" i="13"/>
  <c r="J41" i="13"/>
  <c r="AI41" i="13" s="1"/>
  <c r="I41" i="13"/>
  <c r="BU39" i="13"/>
  <c r="BH39" i="13"/>
  <c r="BD39" i="13"/>
  <c r="BB39" i="13"/>
  <c r="AN39" i="13"/>
  <c r="BG39" i="13" s="1"/>
  <c r="AM39" i="13"/>
  <c r="BF39" i="13" s="1"/>
  <c r="Z39" i="13" s="1"/>
  <c r="AJ39" i="13"/>
  <c r="AH39" i="13"/>
  <c r="AF39" i="13"/>
  <c r="AE39" i="13"/>
  <c r="AD39" i="13"/>
  <c r="AC39" i="13"/>
  <c r="AB39" i="13"/>
  <c r="AA39" i="13"/>
  <c r="X39" i="13"/>
  <c r="L39" i="13"/>
  <c r="J39" i="13"/>
  <c r="I39" i="13"/>
  <c r="BU36" i="13"/>
  <c r="BH36" i="13"/>
  <c r="BB36" i="13"/>
  <c r="AN36" i="13"/>
  <c r="BG36" i="13" s="1"/>
  <c r="AA36" i="13" s="1"/>
  <c r="AM36" i="13"/>
  <c r="AU36" i="13" s="1"/>
  <c r="AJ36" i="13"/>
  <c r="AH36" i="13"/>
  <c r="AF36" i="13"/>
  <c r="AE36" i="13"/>
  <c r="AD36" i="13"/>
  <c r="AC36" i="13"/>
  <c r="AB36" i="13"/>
  <c r="X36" i="13"/>
  <c r="L36" i="13"/>
  <c r="J36" i="13"/>
  <c r="AI36" i="13" s="1"/>
  <c r="I36" i="13"/>
  <c r="H36" i="13"/>
  <c r="BU34" i="13"/>
  <c r="BH34" i="13"/>
  <c r="BD34" i="13"/>
  <c r="BB34" i="13"/>
  <c r="AN34" i="13"/>
  <c r="I34" i="13" s="1"/>
  <c r="AM34" i="13"/>
  <c r="BF34" i="13" s="1"/>
  <c r="Z34" i="13" s="1"/>
  <c r="AJ34" i="13"/>
  <c r="AS33" i="13" s="1"/>
  <c r="AH34" i="13"/>
  <c r="AF34" i="13"/>
  <c r="AE34" i="13"/>
  <c r="AD34" i="13"/>
  <c r="AC34" i="13"/>
  <c r="AB34" i="13"/>
  <c r="X34" i="13"/>
  <c r="L34" i="13"/>
  <c r="J34" i="13"/>
  <c r="I33" i="13"/>
  <c r="BU31" i="13"/>
  <c r="BH31" i="13"/>
  <c r="BD31" i="13"/>
  <c r="BB31" i="13"/>
  <c r="AN31" i="13"/>
  <c r="BG31" i="13" s="1"/>
  <c r="AA31" i="13" s="1"/>
  <c r="AM31" i="13"/>
  <c r="BF31" i="13" s="1"/>
  <c r="Z31" i="13" s="1"/>
  <c r="AJ31" i="13"/>
  <c r="AS24" i="13" s="1"/>
  <c r="AH31" i="13"/>
  <c r="AF31" i="13"/>
  <c r="AE31" i="13"/>
  <c r="AD31" i="13"/>
  <c r="AC31" i="13"/>
  <c r="AB31" i="13"/>
  <c r="X31" i="13"/>
  <c r="L31" i="13"/>
  <c r="J31" i="13"/>
  <c r="AI31" i="13" s="1"/>
  <c r="BU29" i="13"/>
  <c r="BH29" i="13"/>
  <c r="BB29" i="13"/>
  <c r="AN29" i="13"/>
  <c r="BG29" i="13" s="1"/>
  <c r="AA29" i="13" s="1"/>
  <c r="AM29" i="13"/>
  <c r="BF29" i="13" s="1"/>
  <c r="Z29" i="13" s="1"/>
  <c r="AJ29" i="13"/>
  <c r="AH29" i="13"/>
  <c r="AF29" i="13"/>
  <c r="AE29" i="13"/>
  <c r="AD29" i="13"/>
  <c r="AC29" i="13"/>
  <c r="AB29" i="13"/>
  <c r="X29" i="13"/>
  <c r="L29" i="13"/>
  <c r="BD29" i="13" s="1"/>
  <c r="J29" i="13"/>
  <c r="AI29" i="13" s="1"/>
  <c r="I29" i="13"/>
  <c r="BU27" i="13"/>
  <c r="BH27" i="13"/>
  <c r="BD27" i="13"/>
  <c r="BB27" i="13"/>
  <c r="AN27" i="13"/>
  <c r="BG27" i="13" s="1"/>
  <c r="AA27" i="13" s="1"/>
  <c r="AM27" i="13"/>
  <c r="BF27" i="13" s="1"/>
  <c r="Z27" i="13" s="1"/>
  <c r="AJ27" i="13"/>
  <c r="AH27" i="13"/>
  <c r="AF27" i="13"/>
  <c r="AE27" i="13"/>
  <c r="AD27" i="13"/>
  <c r="AC27" i="13"/>
  <c r="AB27" i="13"/>
  <c r="X27" i="13"/>
  <c r="L27" i="13"/>
  <c r="J27" i="13"/>
  <c r="AI27" i="13" s="1"/>
  <c r="BU25" i="13"/>
  <c r="BH25" i="13"/>
  <c r="BB25" i="13"/>
  <c r="AN25" i="13"/>
  <c r="BG25" i="13" s="1"/>
  <c r="AA25" i="13" s="1"/>
  <c r="AM25" i="13"/>
  <c r="AJ25" i="13"/>
  <c r="AH25" i="13"/>
  <c r="AF25" i="13"/>
  <c r="AE25" i="13"/>
  <c r="AD25" i="13"/>
  <c r="AC25" i="13"/>
  <c r="AB25" i="13"/>
  <c r="X25" i="13"/>
  <c r="L25" i="13"/>
  <c r="J25" i="13"/>
  <c r="AI25" i="13" s="1"/>
  <c r="AR24" i="13" s="1"/>
  <c r="BU22" i="13"/>
  <c r="BH22" i="13"/>
  <c r="BB22" i="13"/>
  <c r="AN22" i="13"/>
  <c r="BG22" i="13" s="1"/>
  <c r="AA22" i="13" s="1"/>
  <c r="AM22" i="13"/>
  <c r="AU22" i="13" s="1"/>
  <c r="AJ22" i="13"/>
  <c r="AH22" i="13"/>
  <c r="AF22" i="13"/>
  <c r="AE22" i="13"/>
  <c r="AD22" i="13"/>
  <c r="AC22" i="13"/>
  <c r="AB22" i="13"/>
  <c r="X22" i="13"/>
  <c r="L22" i="13"/>
  <c r="BD22" i="13" s="1"/>
  <c r="J22" i="13"/>
  <c r="AI22" i="13" s="1"/>
  <c r="BU20" i="13"/>
  <c r="BH20" i="13"/>
  <c r="BG20" i="13"/>
  <c r="AA20" i="13" s="1"/>
  <c r="BB20" i="13"/>
  <c r="AN20" i="13"/>
  <c r="I20" i="13" s="1"/>
  <c r="AM20" i="13"/>
  <c r="BF20" i="13" s="1"/>
  <c r="Z20" i="13" s="1"/>
  <c r="AJ20" i="13"/>
  <c r="AH20" i="13"/>
  <c r="AF20" i="13"/>
  <c r="AE20" i="13"/>
  <c r="AD20" i="13"/>
  <c r="AC20" i="13"/>
  <c r="AB20" i="13"/>
  <c r="X20" i="13"/>
  <c r="L20" i="13"/>
  <c r="BD20" i="13" s="1"/>
  <c r="J20" i="13"/>
  <c r="AI20" i="13" s="1"/>
  <c r="H20" i="13"/>
  <c r="AS19" i="13"/>
  <c r="L19" i="13"/>
  <c r="BU17" i="13"/>
  <c r="BH17" i="13"/>
  <c r="BD17" i="13"/>
  <c r="BB17" i="13"/>
  <c r="AU17" i="13"/>
  <c r="AT17" i="13" s="1"/>
  <c r="AN17" i="13"/>
  <c r="AV17" i="13" s="1"/>
  <c r="AM17" i="13"/>
  <c r="BF17" i="13" s="1"/>
  <c r="Z17" i="13" s="1"/>
  <c r="AJ17" i="13"/>
  <c r="AH17" i="13"/>
  <c r="AF17" i="13"/>
  <c r="AE17" i="13"/>
  <c r="AD17" i="13"/>
  <c r="AC17" i="13"/>
  <c r="AB17" i="13"/>
  <c r="X17" i="13"/>
  <c r="L17" i="13"/>
  <c r="J17" i="13"/>
  <c r="AI17" i="13" s="1"/>
  <c r="I17" i="13"/>
  <c r="H17" i="13"/>
  <c r="BU15" i="13"/>
  <c r="BH15" i="13"/>
  <c r="BB15" i="13"/>
  <c r="AN15" i="13"/>
  <c r="BG15" i="13" s="1"/>
  <c r="AA15" i="13" s="1"/>
  <c r="AM15" i="13"/>
  <c r="AU15" i="13" s="1"/>
  <c r="AJ15" i="13"/>
  <c r="AH15" i="13"/>
  <c r="AF15" i="13"/>
  <c r="AE15" i="13"/>
  <c r="AD15" i="13"/>
  <c r="AC15" i="13"/>
  <c r="AB15" i="13"/>
  <c r="X15" i="13"/>
  <c r="L15" i="13"/>
  <c r="BD15" i="13" s="1"/>
  <c r="J15" i="13"/>
  <c r="AI15" i="13" s="1"/>
  <c r="BU13" i="13"/>
  <c r="BH13" i="13"/>
  <c r="BB13" i="13"/>
  <c r="AU13" i="13"/>
  <c r="AN13" i="13"/>
  <c r="I13" i="13" s="1"/>
  <c r="AM13" i="13"/>
  <c r="H13" i="13" s="1"/>
  <c r="AJ13" i="13"/>
  <c r="AH13" i="13"/>
  <c r="AQ12" i="13" s="1"/>
  <c r="AF13" i="13"/>
  <c r="AE13" i="13"/>
  <c r="AD13" i="13"/>
  <c r="AC13" i="13"/>
  <c r="AB13" i="13"/>
  <c r="X13" i="13"/>
  <c r="L13" i="13"/>
  <c r="L12" i="13" s="1"/>
  <c r="J13" i="13"/>
  <c r="AI13" i="13" s="1"/>
  <c r="AS1" i="13"/>
  <c r="AR1" i="13"/>
  <c r="AQ1" i="13"/>
  <c r="BU88" i="12"/>
  <c r="BH88" i="12"/>
  <c r="BB88" i="12"/>
  <c r="AN88" i="12"/>
  <c r="BG88" i="12" s="1"/>
  <c r="AM88" i="12"/>
  <c r="BF88" i="12" s="1"/>
  <c r="AJ88" i="12"/>
  <c r="AH88" i="12"/>
  <c r="AF88" i="12"/>
  <c r="AE88" i="12"/>
  <c r="AD88" i="12"/>
  <c r="AC88" i="12"/>
  <c r="AB88" i="12"/>
  <c r="AA88" i="12"/>
  <c r="Z88" i="12"/>
  <c r="X88" i="12"/>
  <c r="L88" i="12"/>
  <c r="BD88" i="12" s="1"/>
  <c r="J88" i="12"/>
  <c r="AI88" i="12" s="1"/>
  <c r="H88" i="12"/>
  <c r="BU87" i="12"/>
  <c r="BH87" i="12"/>
  <c r="BB87" i="12"/>
  <c r="AN87" i="12"/>
  <c r="BG87" i="12" s="1"/>
  <c r="AM87" i="12"/>
  <c r="AJ87" i="12"/>
  <c r="AH87" i="12"/>
  <c r="AF87" i="12"/>
  <c r="AE87" i="12"/>
  <c r="AD87" i="12"/>
  <c r="AC87" i="12"/>
  <c r="AB87" i="12"/>
  <c r="AA87" i="12"/>
  <c r="Z87" i="12"/>
  <c r="X87" i="12"/>
  <c r="L87" i="12"/>
  <c r="J87" i="12"/>
  <c r="AI87" i="12" s="1"/>
  <c r="AR86" i="12" s="1"/>
  <c r="I87" i="12"/>
  <c r="AS86" i="12"/>
  <c r="J86" i="12"/>
  <c r="BU84" i="12"/>
  <c r="BH84" i="12"/>
  <c r="X84" i="12" s="1"/>
  <c r="BB84" i="12"/>
  <c r="AN84" i="12"/>
  <c r="BG84" i="12" s="1"/>
  <c r="AM84" i="12"/>
  <c r="BF84" i="12" s="1"/>
  <c r="AJ84" i="12"/>
  <c r="AH84" i="12"/>
  <c r="AF84" i="12"/>
  <c r="AE84" i="12"/>
  <c r="AD84" i="12"/>
  <c r="AC84" i="12"/>
  <c r="AB84" i="12"/>
  <c r="AA84" i="12"/>
  <c r="Z84" i="12"/>
  <c r="L84" i="12"/>
  <c r="BD84" i="12" s="1"/>
  <c r="J84" i="12"/>
  <c r="AI84" i="12" s="1"/>
  <c r="I84" i="12"/>
  <c r="H84" i="12"/>
  <c r="BU82" i="12"/>
  <c r="BH82" i="12"/>
  <c r="BB82" i="12"/>
  <c r="AN82" i="12"/>
  <c r="AM82" i="12"/>
  <c r="BF82" i="12" s="1"/>
  <c r="AJ82" i="12"/>
  <c r="AH82" i="12"/>
  <c r="AF82" i="12"/>
  <c r="AE82" i="12"/>
  <c r="AD82" i="12"/>
  <c r="AC82" i="12"/>
  <c r="AB82" i="12"/>
  <c r="AA82" i="12"/>
  <c r="Z82" i="12"/>
  <c r="X82" i="12"/>
  <c r="L82" i="12"/>
  <c r="BD82" i="12" s="1"/>
  <c r="J82" i="12"/>
  <c r="AI82" i="12" s="1"/>
  <c r="H82" i="12"/>
  <c r="BU81" i="12"/>
  <c r="BH81" i="12"/>
  <c r="BB81" i="12"/>
  <c r="AN81" i="12"/>
  <c r="BG81" i="12" s="1"/>
  <c r="AM81" i="12"/>
  <c r="AJ81" i="12"/>
  <c r="AH81" i="12"/>
  <c r="AF81" i="12"/>
  <c r="AE81" i="12"/>
  <c r="AD81" i="12"/>
  <c r="AC81" i="12"/>
  <c r="AB81" i="12"/>
  <c r="AA81" i="12"/>
  <c r="Z81" i="12"/>
  <c r="X81" i="12"/>
  <c r="L81" i="12"/>
  <c r="J81" i="12"/>
  <c r="AI81" i="12" s="1"/>
  <c r="I81" i="12"/>
  <c r="AS80" i="12"/>
  <c r="J80" i="12"/>
  <c r="BU78" i="12"/>
  <c r="BH78" i="12"/>
  <c r="BB78" i="12"/>
  <c r="AN78" i="12"/>
  <c r="BG78" i="12" s="1"/>
  <c r="AM78" i="12"/>
  <c r="BF78" i="12" s="1"/>
  <c r="AJ78" i="12"/>
  <c r="AH78" i="12"/>
  <c r="AF78" i="12"/>
  <c r="AE78" i="12"/>
  <c r="AD78" i="12"/>
  <c r="AC78" i="12"/>
  <c r="AB78" i="12"/>
  <c r="AA78" i="12"/>
  <c r="Z78" i="12"/>
  <c r="X78" i="12"/>
  <c r="L78" i="12"/>
  <c r="BD78" i="12" s="1"/>
  <c r="J78" i="12"/>
  <c r="J77" i="12" s="1"/>
  <c r="I78" i="12"/>
  <c r="I77" i="12" s="1"/>
  <c r="H78" i="12"/>
  <c r="AS77" i="12"/>
  <c r="AQ77" i="12"/>
  <c r="L77" i="12"/>
  <c r="H77" i="12"/>
  <c r="BU75" i="12"/>
  <c r="BH75" i="12"/>
  <c r="BB75" i="12"/>
  <c r="AN75" i="12"/>
  <c r="I75" i="12" s="1"/>
  <c r="I74" i="12" s="1"/>
  <c r="AM75" i="12"/>
  <c r="AU75" i="12" s="1"/>
  <c r="AJ75" i="12"/>
  <c r="AH75" i="12"/>
  <c r="AQ74" i="12" s="1"/>
  <c r="AF75" i="12"/>
  <c r="AE75" i="12"/>
  <c r="AD75" i="12"/>
  <c r="AC75" i="12"/>
  <c r="AB75" i="12"/>
  <c r="X75" i="12"/>
  <c r="L75" i="12"/>
  <c r="BD75" i="12" s="1"/>
  <c r="J75" i="12"/>
  <c r="AI75" i="12" s="1"/>
  <c r="AR74" i="12" s="1"/>
  <c r="AS74" i="12"/>
  <c r="L74" i="12"/>
  <c r="BU72" i="12"/>
  <c r="BH72" i="12"/>
  <c r="BD72" i="12"/>
  <c r="BB72" i="12"/>
  <c r="AU72" i="12"/>
  <c r="AN72" i="12"/>
  <c r="BG72" i="12" s="1"/>
  <c r="AM72" i="12"/>
  <c r="BF72" i="12" s="1"/>
  <c r="AJ72" i="12"/>
  <c r="AH72" i="12"/>
  <c r="AF72" i="12"/>
  <c r="AE72" i="12"/>
  <c r="AD72" i="12"/>
  <c r="AC72" i="12"/>
  <c r="AB72" i="12"/>
  <c r="AA72" i="12"/>
  <c r="Z72" i="12"/>
  <c r="X72" i="12"/>
  <c r="L72" i="12"/>
  <c r="J72" i="12"/>
  <c r="AI72" i="12" s="1"/>
  <c r="I72" i="12"/>
  <c r="H72" i="12"/>
  <c r="BU70" i="12"/>
  <c r="BH70" i="12"/>
  <c r="BB70" i="12"/>
  <c r="AN70" i="12"/>
  <c r="AV70" i="12" s="1"/>
  <c r="AM70" i="12"/>
  <c r="BF70" i="12" s="1"/>
  <c r="AJ70" i="12"/>
  <c r="AI70" i="12"/>
  <c r="AH70" i="12"/>
  <c r="AF70" i="12"/>
  <c r="AE70" i="12"/>
  <c r="AD70" i="12"/>
  <c r="AC70" i="12"/>
  <c r="AB70" i="12"/>
  <c r="Z70" i="12"/>
  <c r="X70" i="12"/>
  <c r="L70" i="12"/>
  <c r="BD70" i="12" s="1"/>
  <c r="J70" i="12"/>
  <c r="H70" i="12"/>
  <c r="BU68" i="12"/>
  <c r="BH68" i="12"/>
  <c r="BB68" i="12"/>
  <c r="AN68" i="12"/>
  <c r="I68" i="12" s="1"/>
  <c r="AM68" i="12"/>
  <c r="AU68" i="12" s="1"/>
  <c r="AJ68" i="12"/>
  <c r="AH68" i="12"/>
  <c r="AF68" i="12"/>
  <c r="AE68" i="12"/>
  <c r="AD68" i="12"/>
  <c r="AC68" i="12"/>
  <c r="AB68" i="12"/>
  <c r="X68" i="12"/>
  <c r="L68" i="12"/>
  <c r="BD68" i="12" s="1"/>
  <c r="J68" i="12"/>
  <c r="AI68" i="12" s="1"/>
  <c r="BU66" i="12"/>
  <c r="BH66" i="12"/>
  <c r="BD66" i="12"/>
  <c r="BB66" i="12"/>
  <c r="AN66" i="12"/>
  <c r="BG66" i="12" s="1"/>
  <c r="AA66" i="12" s="1"/>
  <c r="AM66" i="12"/>
  <c r="H66" i="12" s="1"/>
  <c r="AJ66" i="12"/>
  <c r="AH66" i="12"/>
  <c r="AF66" i="12"/>
  <c r="AE66" i="12"/>
  <c r="AD66" i="12"/>
  <c r="AC66" i="12"/>
  <c r="AB66" i="12"/>
  <c r="X66" i="12"/>
  <c r="L66" i="12"/>
  <c r="L65" i="12" s="1"/>
  <c r="J66" i="12"/>
  <c r="AI66" i="12" s="1"/>
  <c r="I66" i="12"/>
  <c r="BU63" i="12"/>
  <c r="BH63" i="12"/>
  <c r="BB63" i="12"/>
  <c r="AN63" i="12"/>
  <c r="AV63" i="12" s="1"/>
  <c r="AM63" i="12"/>
  <c r="BF63" i="12" s="1"/>
  <c r="Z63" i="12" s="1"/>
  <c r="AJ63" i="12"/>
  <c r="AH63" i="12"/>
  <c r="AF63" i="12"/>
  <c r="AE63" i="12"/>
  <c r="AD63" i="12"/>
  <c r="AC63" i="12"/>
  <c r="AB63" i="12"/>
  <c r="X63" i="12"/>
  <c r="L63" i="12"/>
  <c r="BD63" i="12" s="1"/>
  <c r="J63" i="12"/>
  <c r="AI63" i="12" s="1"/>
  <c r="AR62" i="12" s="1"/>
  <c r="H63" i="12"/>
  <c r="AS62" i="12"/>
  <c r="AQ62" i="12"/>
  <c r="L62" i="12"/>
  <c r="J62" i="12"/>
  <c r="H62" i="12"/>
  <c r="BU60" i="12"/>
  <c r="BH60" i="12"/>
  <c r="BD60" i="12"/>
  <c r="BB60" i="12"/>
  <c r="AN60" i="12"/>
  <c r="BG60" i="12" s="1"/>
  <c r="AM60" i="12"/>
  <c r="H60" i="12" s="1"/>
  <c r="H59" i="12" s="1"/>
  <c r="AJ60" i="12"/>
  <c r="AH60" i="12"/>
  <c r="AF60" i="12"/>
  <c r="AE60" i="12"/>
  <c r="AD60" i="12"/>
  <c r="AC60" i="12"/>
  <c r="AB60" i="12"/>
  <c r="AA60" i="12"/>
  <c r="X60" i="12"/>
  <c r="L60" i="12"/>
  <c r="L59" i="12" s="1"/>
  <c r="J60" i="12"/>
  <c r="AI60" i="12" s="1"/>
  <c r="AR59" i="12" s="1"/>
  <c r="I60" i="12"/>
  <c r="AS59" i="12"/>
  <c r="AQ59" i="12"/>
  <c r="J59" i="12"/>
  <c r="I59" i="12"/>
  <c r="BU57" i="12"/>
  <c r="BH57" i="12"/>
  <c r="BB57" i="12"/>
  <c r="AN57" i="12"/>
  <c r="AV57" i="12" s="1"/>
  <c r="AM57" i="12"/>
  <c r="BF57" i="12" s="1"/>
  <c r="Z57" i="12" s="1"/>
  <c r="AJ57" i="12"/>
  <c r="AH57" i="12"/>
  <c r="AQ56" i="12" s="1"/>
  <c r="AF57" i="12"/>
  <c r="AE57" i="12"/>
  <c r="AD57" i="12"/>
  <c r="AC57" i="12"/>
  <c r="AB57" i="12"/>
  <c r="X57" i="12"/>
  <c r="L57" i="12"/>
  <c r="BD57" i="12" s="1"/>
  <c r="J57" i="12"/>
  <c r="AI57" i="12" s="1"/>
  <c r="AR56" i="12" s="1"/>
  <c r="H57" i="12"/>
  <c r="AS56" i="12"/>
  <c r="L56" i="12"/>
  <c r="J56" i="12"/>
  <c r="H56" i="12"/>
  <c r="BU54" i="12"/>
  <c r="BH54" i="12"/>
  <c r="BF54" i="12"/>
  <c r="Z54" i="12" s="1"/>
  <c r="BD54" i="12"/>
  <c r="BB54" i="12"/>
  <c r="AV54" i="12"/>
  <c r="AU54" i="12"/>
  <c r="AN54" i="12"/>
  <c r="BG54" i="12" s="1"/>
  <c r="AA54" i="12" s="1"/>
  <c r="AM54" i="12"/>
  <c r="H54" i="12" s="1"/>
  <c r="AJ54" i="12"/>
  <c r="AH54" i="12"/>
  <c r="AF54" i="12"/>
  <c r="AE54" i="12"/>
  <c r="AD54" i="12"/>
  <c r="AC54" i="12"/>
  <c r="AB54" i="12"/>
  <c r="X54" i="12"/>
  <c r="L54" i="12"/>
  <c r="J54" i="12"/>
  <c r="AI54" i="12" s="1"/>
  <c r="I54" i="12"/>
  <c r="BU52" i="12"/>
  <c r="BH52" i="12"/>
  <c r="BD52" i="12"/>
  <c r="BB52" i="12"/>
  <c r="AN52" i="12"/>
  <c r="BG52" i="12" s="1"/>
  <c r="AA52" i="12" s="1"/>
  <c r="AM52" i="12"/>
  <c r="BF52" i="12" s="1"/>
  <c r="AJ52" i="12"/>
  <c r="AH52" i="12"/>
  <c r="AF52" i="12"/>
  <c r="AE52" i="12"/>
  <c r="AD52" i="12"/>
  <c r="AC52" i="12"/>
  <c r="AB52" i="12"/>
  <c r="Z52" i="12"/>
  <c r="X52" i="12"/>
  <c r="L52" i="12"/>
  <c r="J52" i="12"/>
  <c r="AI52" i="12" s="1"/>
  <c r="I52" i="12"/>
  <c r="H52" i="12"/>
  <c r="BU50" i="12"/>
  <c r="BH50" i="12"/>
  <c r="BB50" i="12"/>
  <c r="AN50" i="12"/>
  <c r="AV50" i="12" s="1"/>
  <c r="AM50" i="12"/>
  <c r="BF50" i="12" s="1"/>
  <c r="Z50" i="12" s="1"/>
  <c r="AJ50" i="12"/>
  <c r="AH50" i="12"/>
  <c r="AF50" i="12"/>
  <c r="AE50" i="12"/>
  <c r="AD50" i="12"/>
  <c r="AC50" i="12"/>
  <c r="AB50" i="12"/>
  <c r="X50" i="12"/>
  <c r="L50" i="12"/>
  <c r="BD50" i="12" s="1"/>
  <c r="J50" i="12"/>
  <c r="J49" i="12" s="1"/>
  <c r="H50" i="12"/>
  <c r="H49" i="12" s="1"/>
  <c r="AQ49" i="12"/>
  <c r="L49" i="12"/>
  <c r="BU47" i="12"/>
  <c r="BH47" i="12"/>
  <c r="BF47" i="12"/>
  <c r="Z47" i="12" s="1"/>
  <c r="BB47" i="12"/>
  <c r="AU47" i="12"/>
  <c r="AN47" i="12"/>
  <c r="BG47" i="12" s="1"/>
  <c r="AA47" i="12" s="1"/>
  <c r="AM47" i="12"/>
  <c r="H47" i="12" s="1"/>
  <c r="AJ47" i="12"/>
  <c r="AH47" i="12"/>
  <c r="AF47" i="12"/>
  <c r="AE47" i="12"/>
  <c r="AD47" i="12"/>
  <c r="AC47" i="12"/>
  <c r="AB47" i="12"/>
  <c r="X47" i="12"/>
  <c r="L47" i="12"/>
  <c r="BD47" i="12" s="1"/>
  <c r="J47" i="12"/>
  <c r="AI47" i="12" s="1"/>
  <c r="I47" i="12"/>
  <c r="BU45" i="12"/>
  <c r="BH45" i="12"/>
  <c r="BD45" i="12"/>
  <c r="BB45" i="12"/>
  <c r="AN45" i="12"/>
  <c r="BG45" i="12" s="1"/>
  <c r="AM45" i="12"/>
  <c r="BF45" i="12" s="1"/>
  <c r="Z45" i="12" s="1"/>
  <c r="AJ45" i="12"/>
  <c r="AH45" i="12"/>
  <c r="AF45" i="12"/>
  <c r="AE45" i="12"/>
  <c r="AD45" i="12"/>
  <c r="AC45" i="12"/>
  <c r="AB45" i="12"/>
  <c r="AA45" i="12"/>
  <c r="X45" i="12"/>
  <c r="L45" i="12"/>
  <c r="J45" i="12"/>
  <c r="AI45" i="12" s="1"/>
  <c r="I45" i="12"/>
  <c r="H45" i="12"/>
  <c r="BU43" i="12"/>
  <c r="BH43" i="12"/>
  <c r="BB43" i="12"/>
  <c r="AN43" i="12"/>
  <c r="AV43" i="12" s="1"/>
  <c r="AM43" i="12"/>
  <c r="BF43" i="12" s="1"/>
  <c r="AJ43" i="12"/>
  <c r="AH43" i="12"/>
  <c r="AF43" i="12"/>
  <c r="AE43" i="12"/>
  <c r="AD43" i="12"/>
  <c r="AC43" i="12"/>
  <c r="AB43" i="12"/>
  <c r="Z43" i="12"/>
  <c r="X43" i="12"/>
  <c r="L43" i="12"/>
  <c r="BD43" i="12" s="1"/>
  <c r="J43" i="12"/>
  <c r="AI43" i="12" s="1"/>
  <c r="H43" i="12"/>
  <c r="BU41" i="12"/>
  <c r="BH41" i="12"/>
  <c r="BB41" i="12"/>
  <c r="AN41" i="12"/>
  <c r="I41" i="12" s="1"/>
  <c r="AM41" i="12"/>
  <c r="AU41" i="12" s="1"/>
  <c r="AJ41" i="12"/>
  <c r="AH41" i="12"/>
  <c r="AF41" i="12"/>
  <c r="AE41" i="12"/>
  <c r="AD41" i="12"/>
  <c r="AC41" i="12"/>
  <c r="AB41" i="12"/>
  <c r="X41" i="12"/>
  <c r="L41" i="12"/>
  <c r="BD41" i="12" s="1"/>
  <c r="J41" i="12"/>
  <c r="AI41" i="12" s="1"/>
  <c r="AS40" i="12"/>
  <c r="BU38" i="12"/>
  <c r="BH38" i="12"/>
  <c r="BD38" i="12"/>
  <c r="BB38" i="12"/>
  <c r="AN38" i="12"/>
  <c r="BG38" i="12" s="1"/>
  <c r="AM38" i="12"/>
  <c r="BF38" i="12" s="1"/>
  <c r="Z38" i="12" s="1"/>
  <c r="AJ38" i="12"/>
  <c r="AH38" i="12"/>
  <c r="AF38" i="12"/>
  <c r="AE38" i="12"/>
  <c r="AD38" i="12"/>
  <c r="AC38" i="12"/>
  <c r="AB38" i="12"/>
  <c r="AA38" i="12"/>
  <c r="X38" i="12"/>
  <c r="L38" i="12"/>
  <c r="J38" i="12"/>
  <c r="AI38" i="12" s="1"/>
  <c r="I38" i="12"/>
  <c r="H38" i="12"/>
  <c r="BU36" i="12"/>
  <c r="BH36" i="12"/>
  <c r="BB36" i="12"/>
  <c r="AN36" i="12"/>
  <c r="AV36" i="12" s="1"/>
  <c r="AM36" i="12"/>
  <c r="BF36" i="12" s="1"/>
  <c r="Z36" i="12" s="1"/>
  <c r="AJ36" i="12"/>
  <c r="AH36" i="12"/>
  <c r="AF36" i="12"/>
  <c r="AE36" i="12"/>
  <c r="AD36" i="12"/>
  <c r="AC36" i="12"/>
  <c r="AB36" i="12"/>
  <c r="X36" i="12"/>
  <c r="L36" i="12"/>
  <c r="BD36" i="12" s="1"/>
  <c r="J36" i="12"/>
  <c r="AI36" i="12" s="1"/>
  <c r="AQ35" i="12"/>
  <c r="L35" i="12"/>
  <c r="BU33" i="12"/>
  <c r="BH33" i="12"/>
  <c r="BF33" i="12"/>
  <c r="Z33" i="12" s="1"/>
  <c r="BD33" i="12"/>
  <c r="BB33" i="12"/>
  <c r="AV33" i="12"/>
  <c r="AU33" i="12"/>
  <c r="AN33" i="12"/>
  <c r="BG33" i="12" s="1"/>
  <c r="AA33" i="12" s="1"/>
  <c r="AM33" i="12"/>
  <c r="H33" i="12" s="1"/>
  <c r="AJ33" i="12"/>
  <c r="AH33" i="12"/>
  <c r="AF33" i="12"/>
  <c r="AE33" i="12"/>
  <c r="AD33" i="12"/>
  <c r="AC33" i="12"/>
  <c r="AB33" i="12"/>
  <c r="X33" i="12"/>
  <c r="L33" i="12"/>
  <c r="J33" i="12"/>
  <c r="AI33" i="12" s="1"/>
  <c r="I33" i="12"/>
  <c r="BU31" i="12"/>
  <c r="BH31" i="12"/>
  <c r="BD31" i="12"/>
  <c r="BB31" i="12"/>
  <c r="AN31" i="12"/>
  <c r="BG31" i="12" s="1"/>
  <c r="AA31" i="12" s="1"/>
  <c r="AM31" i="12"/>
  <c r="BF31" i="12" s="1"/>
  <c r="Z31" i="12" s="1"/>
  <c r="AJ31" i="12"/>
  <c r="AH31" i="12"/>
  <c r="AF31" i="12"/>
  <c r="AE31" i="12"/>
  <c r="AD31" i="12"/>
  <c r="AC31" i="12"/>
  <c r="AB31" i="12"/>
  <c r="X31" i="12"/>
  <c r="L31" i="12"/>
  <c r="J31" i="12"/>
  <c r="AI31" i="12" s="1"/>
  <c r="I31" i="12"/>
  <c r="BU29" i="12"/>
  <c r="BH29" i="12"/>
  <c r="BG29" i="12"/>
  <c r="BB29" i="12"/>
  <c r="AV29" i="12"/>
  <c r="AN29" i="12"/>
  <c r="AM29" i="12"/>
  <c r="BF29" i="12" s="1"/>
  <c r="Z29" i="12" s="1"/>
  <c r="AJ29" i="12"/>
  <c r="AH29" i="12"/>
  <c r="AF29" i="12"/>
  <c r="AE29" i="12"/>
  <c r="AD29" i="12"/>
  <c r="AC29" i="12"/>
  <c r="AB29" i="12"/>
  <c r="AA29" i="12"/>
  <c r="X29" i="12"/>
  <c r="L29" i="12"/>
  <c r="BD29" i="12" s="1"/>
  <c r="J29" i="12"/>
  <c r="AI29" i="12" s="1"/>
  <c r="I29" i="12"/>
  <c r="BU27" i="12"/>
  <c r="BH27" i="12"/>
  <c r="BD27" i="12"/>
  <c r="BB27" i="12"/>
  <c r="AN27" i="12"/>
  <c r="AV27" i="12" s="1"/>
  <c r="AM27" i="12"/>
  <c r="BF27" i="12" s="1"/>
  <c r="Z27" i="12" s="1"/>
  <c r="AJ27" i="12"/>
  <c r="AS26" i="12" s="1"/>
  <c r="AH27" i="12"/>
  <c r="AQ26" i="12" s="1"/>
  <c r="AF27" i="12"/>
  <c r="AE27" i="12"/>
  <c r="AD27" i="12"/>
  <c r="AC27" i="12"/>
  <c r="AB27" i="12"/>
  <c r="X27" i="12"/>
  <c r="L27" i="12"/>
  <c r="J27" i="12"/>
  <c r="J26" i="12" s="1"/>
  <c r="H27" i="12"/>
  <c r="L26" i="12"/>
  <c r="BU24" i="12"/>
  <c r="BH24" i="12"/>
  <c r="BD24" i="12"/>
  <c r="BB24" i="12"/>
  <c r="AU24" i="12"/>
  <c r="AN24" i="12"/>
  <c r="I24" i="12" s="1"/>
  <c r="I23" i="12" s="1"/>
  <c r="AM24" i="12"/>
  <c r="H24" i="12" s="1"/>
  <c r="H23" i="12" s="1"/>
  <c r="AJ24" i="12"/>
  <c r="AS23" i="12" s="1"/>
  <c r="AH24" i="12"/>
  <c r="AQ23" i="12" s="1"/>
  <c r="AF24" i="12"/>
  <c r="AE24" i="12"/>
  <c r="AD24" i="12"/>
  <c r="AC24" i="12"/>
  <c r="AB24" i="12"/>
  <c r="X24" i="12"/>
  <c r="L24" i="12"/>
  <c r="L23" i="12" s="1"/>
  <c r="J24" i="12"/>
  <c r="AI24" i="12" s="1"/>
  <c r="AR23" i="12" s="1"/>
  <c r="BU21" i="12"/>
  <c r="BH21" i="12"/>
  <c r="BD21" i="12"/>
  <c r="BB21" i="12"/>
  <c r="AU21" i="12"/>
  <c r="AN21" i="12"/>
  <c r="AV21" i="12" s="1"/>
  <c r="AM21" i="12"/>
  <c r="BF21" i="12" s="1"/>
  <c r="Z21" i="12" s="1"/>
  <c r="AJ21" i="12"/>
  <c r="AI21" i="12"/>
  <c r="AH21" i="12"/>
  <c r="AF21" i="12"/>
  <c r="AE21" i="12"/>
  <c r="AD21" i="12"/>
  <c r="AC21" i="12"/>
  <c r="AB21" i="12"/>
  <c r="X21" i="12"/>
  <c r="L21" i="12"/>
  <c r="J21" i="12"/>
  <c r="H21" i="12"/>
  <c r="BU19" i="12"/>
  <c r="BH19" i="12"/>
  <c r="BB19" i="12"/>
  <c r="AN19" i="12"/>
  <c r="I19" i="12" s="1"/>
  <c r="AM19" i="12"/>
  <c r="AU19" i="12" s="1"/>
  <c r="AJ19" i="12"/>
  <c r="AH19" i="12"/>
  <c r="AF19" i="12"/>
  <c r="AE19" i="12"/>
  <c r="AD19" i="12"/>
  <c r="AC19" i="12"/>
  <c r="AB19" i="12"/>
  <c r="X19" i="12"/>
  <c r="L19" i="12"/>
  <c r="BD19" i="12" s="1"/>
  <c r="J19" i="12"/>
  <c r="AI19" i="12" s="1"/>
  <c r="BU17" i="12"/>
  <c r="BH17" i="12"/>
  <c r="BD17" i="12"/>
  <c r="BB17" i="12"/>
  <c r="AV17" i="12"/>
  <c r="AN17" i="12"/>
  <c r="I17" i="12" s="1"/>
  <c r="AM17" i="12"/>
  <c r="H17" i="12" s="1"/>
  <c r="AJ17" i="12"/>
  <c r="AH17" i="12"/>
  <c r="AF17" i="12"/>
  <c r="AE17" i="12"/>
  <c r="AD17" i="12"/>
  <c r="AC17" i="12"/>
  <c r="AB17" i="12"/>
  <c r="X17" i="12"/>
  <c r="L17" i="12"/>
  <c r="J17" i="12"/>
  <c r="AI17" i="12" s="1"/>
  <c r="BU15" i="12"/>
  <c r="BH15" i="12"/>
  <c r="BD15" i="12"/>
  <c r="BB15" i="12"/>
  <c r="AU15" i="12"/>
  <c r="AN15" i="12"/>
  <c r="BG15" i="12" s="1"/>
  <c r="AA15" i="12" s="1"/>
  <c r="AM15" i="12"/>
  <c r="H15" i="12" s="1"/>
  <c r="AJ15" i="12"/>
  <c r="AH15" i="12"/>
  <c r="AF15" i="12"/>
  <c r="AE15" i="12"/>
  <c r="AD15" i="12"/>
  <c r="AC15" i="12"/>
  <c r="AB15" i="12"/>
  <c r="X15" i="12"/>
  <c r="L15" i="12"/>
  <c r="J15" i="12"/>
  <c r="AI15" i="12" s="1"/>
  <c r="BU13" i="12"/>
  <c r="BH13" i="12"/>
  <c r="BD13" i="12"/>
  <c r="BB13" i="12"/>
  <c r="AU13" i="12"/>
  <c r="AN13" i="12"/>
  <c r="AV13" i="12" s="1"/>
  <c r="AM13" i="12"/>
  <c r="BF13" i="12" s="1"/>
  <c r="Z13" i="12" s="1"/>
  <c r="AJ13" i="12"/>
  <c r="AH13" i="12"/>
  <c r="AQ12" i="12" s="1"/>
  <c r="AF13" i="12"/>
  <c r="AE13" i="12"/>
  <c r="AD13" i="12"/>
  <c r="AC13" i="12"/>
  <c r="AB13" i="12"/>
  <c r="X13" i="12"/>
  <c r="L13" i="12"/>
  <c r="J13" i="12"/>
  <c r="J12" i="12" s="1"/>
  <c r="H13" i="12"/>
  <c r="L12" i="12"/>
  <c r="AS1" i="12"/>
  <c r="AR1" i="12"/>
  <c r="AQ1" i="12"/>
  <c r="BU102" i="10"/>
  <c r="BH102" i="10"/>
  <c r="BD102" i="10"/>
  <c r="BB102" i="10"/>
  <c r="AN102" i="10"/>
  <c r="BG102" i="10" s="1"/>
  <c r="AE102" i="10" s="1"/>
  <c r="AM102" i="10"/>
  <c r="AJ102" i="10"/>
  <c r="AS101" i="10" s="1"/>
  <c r="AH102" i="10"/>
  <c r="AF102" i="10"/>
  <c r="AC102" i="10"/>
  <c r="AB102" i="10"/>
  <c r="AA102" i="10"/>
  <c r="Z102" i="10"/>
  <c r="X102" i="10"/>
  <c r="L102" i="10"/>
  <c r="J102" i="10"/>
  <c r="AI102" i="10" s="1"/>
  <c r="AR101" i="10" s="1"/>
  <c r="I102" i="10"/>
  <c r="I101" i="10" s="1"/>
  <c r="H102" i="10"/>
  <c r="H101" i="10" s="1"/>
  <c r="AQ101" i="10"/>
  <c r="L101" i="10"/>
  <c r="J101" i="10"/>
  <c r="BU100" i="10"/>
  <c r="BH100" i="10"/>
  <c r="X100" i="10" s="1"/>
  <c r="BB100" i="10"/>
  <c r="AU100" i="10"/>
  <c r="AN100" i="10"/>
  <c r="AM100" i="10"/>
  <c r="BF100" i="10" s="1"/>
  <c r="AJ100" i="10"/>
  <c r="AH100" i="10"/>
  <c r="AF100" i="10"/>
  <c r="AE100" i="10"/>
  <c r="AD100" i="10"/>
  <c r="AC100" i="10"/>
  <c r="AB100" i="10"/>
  <c r="AA100" i="10"/>
  <c r="Z100" i="10"/>
  <c r="L100" i="10"/>
  <c r="BD100" i="10" s="1"/>
  <c r="J100" i="10"/>
  <c r="AI100" i="10" s="1"/>
  <c r="H100" i="10"/>
  <c r="BU99" i="10"/>
  <c r="BH99" i="10"/>
  <c r="X99" i="10" s="1"/>
  <c r="BB99" i="10"/>
  <c r="AN99" i="10"/>
  <c r="AM99" i="10"/>
  <c r="BF99" i="10" s="1"/>
  <c r="AJ99" i="10"/>
  <c r="AH99" i="10"/>
  <c r="AF99" i="10"/>
  <c r="AE99" i="10"/>
  <c r="AD99" i="10"/>
  <c r="AC99" i="10"/>
  <c r="AB99" i="10"/>
  <c r="AA99" i="10"/>
  <c r="Z99" i="10"/>
  <c r="L99" i="10"/>
  <c r="BD99" i="10" s="1"/>
  <c r="J99" i="10"/>
  <c r="H99" i="10"/>
  <c r="BU98" i="10"/>
  <c r="BH98" i="10"/>
  <c r="X98" i="10" s="1"/>
  <c r="BB98" i="10"/>
  <c r="AU98" i="10"/>
  <c r="AN98" i="10"/>
  <c r="AM98" i="10"/>
  <c r="BF98" i="10" s="1"/>
  <c r="AJ98" i="10"/>
  <c r="AI98" i="10"/>
  <c r="AH98" i="10"/>
  <c r="AQ97" i="10" s="1"/>
  <c r="AF98" i="10"/>
  <c r="AE98" i="10"/>
  <c r="AD98" i="10"/>
  <c r="AC98" i="10"/>
  <c r="AB98" i="10"/>
  <c r="AA98" i="10"/>
  <c r="Z98" i="10"/>
  <c r="L98" i="10"/>
  <c r="J98" i="10"/>
  <c r="BU95" i="10"/>
  <c r="BH95" i="10"/>
  <c r="X95" i="10" s="1"/>
  <c r="BD95" i="10"/>
  <c r="BB95" i="10"/>
  <c r="AU95" i="10"/>
  <c r="AN95" i="10"/>
  <c r="BG95" i="10" s="1"/>
  <c r="AM95" i="10"/>
  <c r="BF95" i="10" s="1"/>
  <c r="AJ95" i="10"/>
  <c r="AI95" i="10"/>
  <c r="AH95" i="10"/>
  <c r="AF95" i="10"/>
  <c r="AE95" i="10"/>
  <c r="AD95" i="10"/>
  <c r="AC95" i="10"/>
  <c r="AB95" i="10"/>
  <c r="AA95" i="10"/>
  <c r="Z95" i="10"/>
  <c r="L95" i="10"/>
  <c r="J95" i="10"/>
  <c r="I95" i="10"/>
  <c r="H95" i="10"/>
  <c r="BU93" i="10"/>
  <c r="BH93" i="10"/>
  <c r="X93" i="10" s="1"/>
  <c r="BD93" i="10"/>
  <c r="BB93" i="10"/>
  <c r="AN93" i="10"/>
  <c r="BG93" i="10" s="1"/>
  <c r="AM93" i="10"/>
  <c r="AJ93" i="10"/>
  <c r="AH93" i="10"/>
  <c r="AQ91" i="10" s="1"/>
  <c r="AF93" i="10"/>
  <c r="AE93" i="10"/>
  <c r="AD93" i="10"/>
  <c r="AC93" i="10"/>
  <c r="AB93" i="10"/>
  <c r="AA93" i="10"/>
  <c r="Z93" i="10"/>
  <c r="L93" i="10"/>
  <c r="J93" i="10"/>
  <c r="AI93" i="10" s="1"/>
  <c r="H93" i="10"/>
  <c r="BU92" i="10"/>
  <c r="BH92" i="10"/>
  <c r="X92" i="10" s="1"/>
  <c r="BD92" i="10"/>
  <c r="BB92" i="10"/>
  <c r="AN92" i="10"/>
  <c r="BG92" i="10" s="1"/>
  <c r="AM92" i="10"/>
  <c r="H92" i="10" s="1"/>
  <c r="AJ92" i="10"/>
  <c r="AH92" i="10"/>
  <c r="AF92" i="10"/>
  <c r="AE92" i="10"/>
  <c r="AD92" i="10"/>
  <c r="AC92" i="10"/>
  <c r="AB92" i="10"/>
  <c r="AA92" i="10"/>
  <c r="Z92" i="10"/>
  <c r="L92" i="10"/>
  <c r="J92" i="10"/>
  <c r="L91" i="10"/>
  <c r="BU89" i="10"/>
  <c r="BH89" i="10"/>
  <c r="BD89" i="10"/>
  <c r="BB89" i="10"/>
  <c r="AN89" i="10"/>
  <c r="BG89" i="10" s="1"/>
  <c r="AA89" i="10" s="1"/>
  <c r="AM89" i="10"/>
  <c r="AJ89" i="10"/>
  <c r="AS88" i="10" s="1"/>
  <c r="AH89" i="10"/>
  <c r="AQ88" i="10" s="1"/>
  <c r="AF89" i="10"/>
  <c r="AE89" i="10"/>
  <c r="AD89" i="10"/>
  <c r="AC89" i="10"/>
  <c r="AB89" i="10"/>
  <c r="X89" i="10"/>
  <c r="L89" i="10"/>
  <c r="J89" i="10"/>
  <c r="L88" i="10"/>
  <c r="BU86" i="10"/>
  <c r="BH86" i="10"/>
  <c r="BB86" i="10"/>
  <c r="AU86" i="10"/>
  <c r="AN86" i="10"/>
  <c r="BG86" i="10" s="1"/>
  <c r="AA86" i="10" s="1"/>
  <c r="AM86" i="10"/>
  <c r="BF86" i="10" s="1"/>
  <c r="AJ86" i="10"/>
  <c r="AS85" i="10" s="1"/>
  <c r="AI86" i="10"/>
  <c r="AR85" i="10" s="1"/>
  <c r="AH86" i="10"/>
  <c r="AQ85" i="10" s="1"/>
  <c r="AF86" i="10"/>
  <c r="AE86" i="10"/>
  <c r="AD86" i="10"/>
  <c r="AC86" i="10"/>
  <c r="AB86" i="10"/>
  <c r="Z86" i="10"/>
  <c r="X86" i="10"/>
  <c r="L86" i="10"/>
  <c r="BD86" i="10" s="1"/>
  <c r="J86" i="10"/>
  <c r="H86" i="10"/>
  <c r="H85" i="10" s="1"/>
  <c r="L85" i="10"/>
  <c r="J85" i="10"/>
  <c r="BU83" i="10"/>
  <c r="BH83" i="10"/>
  <c r="BB83" i="10"/>
  <c r="AN83" i="10"/>
  <c r="AM83" i="10"/>
  <c r="BF83" i="10" s="1"/>
  <c r="AJ83" i="10"/>
  <c r="AH83" i="10"/>
  <c r="AQ82" i="10" s="1"/>
  <c r="AF83" i="10"/>
  <c r="AE83" i="10"/>
  <c r="AD83" i="10"/>
  <c r="AC83" i="10"/>
  <c r="AB83" i="10"/>
  <c r="Z83" i="10"/>
  <c r="X83" i="10"/>
  <c r="L83" i="10"/>
  <c r="J83" i="10"/>
  <c r="H83" i="10"/>
  <c r="H82" i="10" s="1"/>
  <c r="AS82" i="10"/>
  <c r="BU80" i="10"/>
  <c r="BH80" i="10"/>
  <c r="BB80" i="10"/>
  <c r="AN80" i="10"/>
  <c r="BG80" i="10" s="1"/>
  <c r="AA80" i="10" s="1"/>
  <c r="AM80" i="10"/>
  <c r="AJ80" i="10"/>
  <c r="AH80" i="10"/>
  <c r="AF80" i="10"/>
  <c r="AE80" i="10"/>
  <c r="AD80" i="10"/>
  <c r="AC80" i="10"/>
  <c r="AB80" i="10"/>
  <c r="X80" i="10"/>
  <c r="L80" i="10"/>
  <c r="BD80" i="10" s="1"/>
  <c r="J80" i="10"/>
  <c r="AI80" i="10" s="1"/>
  <c r="BU78" i="10"/>
  <c r="BH78" i="10"/>
  <c r="BB78" i="10"/>
  <c r="AU78" i="10"/>
  <c r="AN78" i="10"/>
  <c r="AM78" i="10"/>
  <c r="BF78" i="10" s="1"/>
  <c r="AJ78" i="10"/>
  <c r="AH78" i="10"/>
  <c r="AF78" i="10"/>
  <c r="AE78" i="10"/>
  <c r="AD78" i="10"/>
  <c r="AC78" i="10"/>
  <c r="AB78" i="10"/>
  <c r="Z78" i="10"/>
  <c r="X78" i="10"/>
  <c r="L78" i="10"/>
  <c r="BD78" i="10" s="1"/>
  <c r="J78" i="10"/>
  <c r="H78" i="10"/>
  <c r="BU76" i="10"/>
  <c r="BH76" i="10"/>
  <c r="BD76" i="10"/>
  <c r="BB76" i="10"/>
  <c r="AU76" i="10"/>
  <c r="AN76" i="10"/>
  <c r="BG76" i="10" s="1"/>
  <c r="AA76" i="10" s="1"/>
  <c r="AM76" i="10"/>
  <c r="BF76" i="10" s="1"/>
  <c r="Z76" i="10" s="1"/>
  <c r="AJ76" i="10"/>
  <c r="AH76" i="10"/>
  <c r="AF76" i="10"/>
  <c r="AE76" i="10"/>
  <c r="AD76" i="10"/>
  <c r="AC76" i="10"/>
  <c r="AB76" i="10"/>
  <c r="X76" i="10"/>
  <c r="L76" i="10"/>
  <c r="J76" i="10"/>
  <c r="H76" i="10"/>
  <c r="BU74" i="10"/>
  <c r="BH74" i="10"/>
  <c r="BB74" i="10"/>
  <c r="AN74" i="10"/>
  <c r="BG74" i="10" s="1"/>
  <c r="AM74" i="10"/>
  <c r="AJ74" i="10"/>
  <c r="AH74" i="10"/>
  <c r="AF74" i="10"/>
  <c r="AE74" i="10"/>
  <c r="AD74" i="10"/>
  <c r="AC74" i="10"/>
  <c r="AB74" i="10"/>
  <c r="AA74" i="10"/>
  <c r="X74" i="10"/>
  <c r="L74" i="10"/>
  <c r="J74" i="10"/>
  <c r="AI74" i="10" s="1"/>
  <c r="AS73" i="10"/>
  <c r="BU71" i="10"/>
  <c r="BH71" i="10"/>
  <c r="BD71" i="10"/>
  <c r="BB71" i="10"/>
  <c r="AN71" i="10"/>
  <c r="BG71" i="10" s="1"/>
  <c r="AM71" i="10"/>
  <c r="BF71" i="10" s="1"/>
  <c r="AJ71" i="10"/>
  <c r="AS70" i="10" s="1"/>
  <c r="AH71" i="10"/>
  <c r="AQ70" i="10" s="1"/>
  <c r="AF71" i="10"/>
  <c r="AE71" i="10"/>
  <c r="AD71" i="10"/>
  <c r="AC71" i="10"/>
  <c r="AB71" i="10"/>
  <c r="AA71" i="10"/>
  <c r="Z71" i="10"/>
  <c r="X71" i="10"/>
  <c r="L71" i="10"/>
  <c r="J71" i="10"/>
  <c r="I71" i="10"/>
  <c r="I70" i="10" s="1"/>
  <c r="L70" i="10"/>
  <c r="J70" i="10"/>
  <c r="BU68" i="10"/>
  <c r="BH68" i="10"/>
  <c r="BB68" i="10"/>
  <c r="AU68" i="10"/>
  <c r="AN68" i="10"/>
  <c r="BG68" i="10" s="1"/>
  <c r="AA68" i="10" s="1"/>
  <c r="AM68" i="10"/>
  <c r="BF68" i="10" s="1"/>
  <c r="Z68" i="10" s="1"/>
  <c r="AJ68" i="10"/>
  <c r="AS67" i="10" s="1"/>
  <c r="AH68" i="10"/>
  <c r="AF68" i="10"/>
  <c r="AE68" i="10"/>
  <c r="AD68" i="10"/>
  <c r="AC68" i="10"/>
  <c r="AB68" i="10"/>
  <c r="X68" i="10"/>
  <c r="L68" i="10"/>
  <c r="BD68" i="10" s="1"/>
  <c r="J68" i="10"/>
  <c r="AI68" i="10" s="1"/>
  <c r="AR67" i="10" s="1"/>
  <c r="AQ67" i="10"/>
  <c r="L67" i="10"/>
  <c r="BU65" i="10"/>
  <c r="BH65" i="10"/>
  <c r="BD65" i="10"/>
  <c r="BB65" i="10"/>
  <c r="AN65" i="10"/>
  <c r="AM65" i="10"/>
  <c r="BF65" i="10" s="1"/>
  <c r="Z65" i="10" s="1"/>
  <c r="AJ65" i="10"/>
  <c r="AS64" i="10" s="1"/>
  <c r="AH65" i="10"/>
  <c r="AQ64" i="10" s="1"/>
  <c r="AF65" i="10"/>
  <c r="AE65" i="10"/>
  <c r="AD65" i="10"/>
  <c r="AC65" i="10"/>
  <c r="AB65" i="10"/>
  <c r="X65" i="10"/>
  <c r="L65" i="10"/>
  <c r="L64" i="10" s="1"/>
  <c r="J65" i="10"/>
  <c r="J64" i="10" s="1"/>
  <c r="H65" i="10"/>
  <c r="H64" i="10" s="1"/>
  <c r="BU62" i="10"/>
  <c r="BH62" i="10"/>
  <c r="BD62" i="10"/>
  <c r="BB62" i="10"/>
  <c r="AN62" i="10"/>
  <c r="AM62" i="10"/>
  <c r="AJ62" i="10"/>
  <c r="AH62" i="10"/>
  <c r="AF62" i="10"/>
  <c r="AE62" i="10"/>
  <c r="AD62" i="10"/>
  <c r="AC62" i="10"/>
  <c r="AB62" i="10"/>
  <c r="X62" i="10"/>
  <c r="L62" i="10"/>
  <c r="J62" i="10"/>
  <c r="AI62" i="10" s="1"/>
  <c r="I62" i="10"/>
  <c r="BU60" i="10"/>
  <c r="BH60" i="10"/>
  <c r="BD60" i="10"/>
  <c r="BB60" i="10"/>
  <c r="AN60" i="10"/>
  <c r="BG60" i="10" s="1"/>
  <c r="AA60" i="10" s="1"/>
  <c r="AM60" i="10"/>
  <c r="BF60" i="10" s="1"/>
  <c r="Z60" i="10" s="1"/>
  <c r="AJ60" i="10"/>
  <c r="AH60" i="10"/>
  <c r="AF60" i="10"/>
  <c r="AE60" i="10"/>
  <c r="AD60" i="10"/>
  <c r="AC60" i="10"/>
  <c r="AB60" i="10"/>
  <c r="X60" i="10"/>
  <c r="L60" i="10"/>
  <c r="J60" i="10"/>
  <c r="AI60" i="10" s="1"/>
  <c r="I60" i="10"/>
  <c r="H60" i="10"/>
  <c r="L59" i="10"/>
  <c r="BU57" i="10"/>
  <c r="BH57" i="10"/>
  <c r="BB57" i="10"/>
  <c r="AV57" i="10"/>
  <c r="AN57" i="10"/>
  <c r="BG57" i="10" s="1"/>
  <c r="AA57" i="10" s="1"/>
  <c r="AM57" i="10"/>
  <c r="BF57" i="10" s="1"/>
  <c r="AJ57" i="10"/>
  <c r="AH57" i="10"/>
  <c r="AF57" i="10"/>
  <c r="AE57" i="10"/>
  <c r="AD57" i="10"/>
  <c r="AC57" i="10"/>
  <c r="AB57" i="10"/>
  <c r="Z57" i="10"/>
  <c r="X57" i="10"/>
  <c r="L57" i="10"/>
  <c r="BD57" i="10" s="1"/>
  <c r="J57" i="10"/>
  <c r="AI57" i="10" s="1"/>
  <c r="I57" i="10"/>
  <c r="BU55" i="10"/>
  <c r="BH55" i="10"/>
  <c r="BD55" i="10"/>
  <c r="BB55" i="10"/>
  <c r="AN55" i="10"/>
  <c r="AM55" i="10"/>
  <c r="AJ55" i="10"/>
  <c r="AH55" i="10"/>
  <c r="AF55" i="10"/>
  <c r="AE55" i="10"/>
  <c r="AD55" i="10"/>
  <c r="AC55" i="10"/>
  <c r="AB55" i="10"/>
  <c r="X55" i="10"/>
  <c r="L55" i="10"/>
  <c r="J55" i="10"/>
  <c r="H55" i="10"/>
  <c r="BU53" i="10"/>
  <c r="BH53" i="10"/>
  <c r="BB53" i="10"/>
  <c r="AV53" i="10"/>
  <c r="AN53" i="10"/>
  <c r="BG53" i="10" s="1"/>
  <c r="AA53" i="10" s="1"/>
  <c r="AM53" i="10"/>
  <c r="BF53" i="10" s="1"/>
  <c r="Z53" i="10" s="1"/>
  <c r="AJ53" i="10"/>
  <c r="AH53" i="10"/>
  <c r="AF53" i="10"/>
  <c r="AE53" i="10"/>
  <c r="AD53" i="10"/>
  <c r="AC53" i="10"/>
  <c r="AB53" i="10"/>
  <c r="X53" i="10"/>
  <c r="L53" i="10"/>
  <c r="J53" i="10"/>
  <c r="AI53" i="10" s="1"/>
  <c r="BU50" i="10"/>
  <c r="BH50" i="10"/>
  <c r="BB50" i="10"/>
  <c r="AN50" i="10"/>
  <c r="BG50" i="10" s="1"/>
  <c r="AA50" i="10" s="1"/>
  <c r="AM50" i="10"/>
  <c r="AJ50" i="10"/>
  <c r="AH50" i="10"/>
  <c r="AF50" i="10"/>
  <c r="AE50" i="10"/>
  <c r="AD50" i="10"/>
  <c r="AC50" i="10"/>
  <c r="AB50" i="10"/>
  <c r="X50" i="10"/>
  <c r="L50" i="10"/>
  <c r="BD50" i="10" s="1"/>
  <c r="J50" i="10"/>
  <c r="AI50" i="10" s="1"/>
  <c r="I50" i="10"/>
  <c r="H50" i="10"/>
  <c r="BU48" i="10"/>
  <c r="BH48" i="10"/>
  <c r="BB48" i="10"/>
  <c r="AN48" i="10"/>
  <c r="BG48" i="10" s="1"/>
  <c r="AA48" i="10" s="1"/>
  <c r="AM48" i="10"/>
  <c r="BF48" i="10" s="1"/>
  <c r="AJ48" i="10"/>
  <c r="AH48" i="10"/>
  <c r="AF48" i="10"/>
  <c r="AE48" i="10"/>
  <c r="AD48" i="10"/>
  <c r="AC48" i="10"/>
  <c r="AB48" i="10"/>
  <c r="Z48" i="10"/>
  <c r="X48" i="10"/>
  <c r="L48" i="10"/>
  <c r="BD48" i="10" s="1"/>
  <c r="J48" i="10"/>
  <c r="BU46" i="10"/>
  <c r="BH46" i="10"/>
  <c r="BB46" i="10"/>
  <c r="AN46" i="10"/>
  <c r="BG46" i="10" s="1"/>
  <c r="AM46" i="10"/>
  <c r="AU46" i="10" s="1"/>
  <c r="AJ46" i="10"/>
  <c r="AH46" i="10"/>
  <c r="AF46" i="10"/>
  <c r="AE46" i="10"/>
  <c r="AD46" i="10"/>
  <c r="AC46" i="10"/>
  <c r="AB46" i="10"/>
  <c r="AA46" i="10"/>
  <c r="X46" i="10"/>
  <c r="L46" i="10"/>
  <c r="BD46" i="10" s="1"/>
  <c r="J46" i="10"/>
  <c r="AI46" i="10" s="1"/>
  <c r="I46" i="10"/>
  <c r="BU44" i="10"/>
  <c r="BH44" i="10"/>
  <c r="BB44" i="10"/>
  <c r="AN44" i="10"/>
  <c r="AM44" i="10"/>
  <c r="BF44" i="10" s="1"/>
  <c r="Z44" i="10" s="1"/>
  <c r="AJ44" i="10"/>
  <c r="AH44" i="10"/>
  <c r="AQ39" i="10" s="1"/>
  <c r="AF44" i="10"/>
  <c r="AE44" i="10"/>
  <c r="AD44" i="10"/>
  <c r="AC44" i="10"/>
  <c r="AB44" i="10"/>
  <c r="X44" i="10"/>
  <c r="L44" i="10"/>
  <c r="BD44" i="10" s="1"/>
  <c r="J44" i="10"/>
  <c r="I44" i="10"/>
  <c r="H44" i="10"/>
  <c r="BU42" i="10"/>
  <c r="BH42" i="10"/>
  <c r="BB42" i="10"/>
  <c r="AN42" i="10"/>
  <c r="BG42" i="10" s="1"/>
  <c r="AM42" i="10"/>
  <c r="AU42" i="10" s="1"/>
  <c r="AJ42" i="10"/>
  <c r="AH42" i="10"/>
  <c r="AF42" i="10"/>
  <c r="AE42" i="10"/>
  <c r="AD42" i="10"/>
  <c r="AC42" i="10"/>
  <c r="AB42" i="10"/>
  <c r="AA42" i="10"/>
  <c r="X42" i="10"/>
  <c r="L42" i="10"/>
  <c r="BD42" i="10" s="1"/>
  <c r="J42" i="10"/>
  <c r="I42" i="10"/>
  <c r="BU40" i="10"/>
  <c r="BH40" i="10"/>
  <c r="BB40" i="10"/>
  <c r="AN40" i="10"/>
  <c r="AM40" i="10"/>
  <c r="BF40" i="10" s="1"/>
  <c r="Z40" i="10" s="1"/>
  <c r="AJ40" i="10"/>
  <c r="AH40" i="10"/>
  <c r="AF40" i="10"/>
  <c r="AE40" i="10"/>
  <c r="AD40" i="10"/>
  <c r="AC40" i="10"/>
  <c r="AB40" i="10"/>
  <c r="X40" i="10"/>
  <c r="L40" i="10"/>
  <c r="BD40" i="10" s="1"/>
  <c r="J40" i="10"/>
  <c r="I40" i="10"/>
  <c r="H40" i="10"/>
  <c r="BU37" i="10"/>
  <c r="BH37" i="10"/>
  <c r="BB37" i="10"/>
  <c r="AV37" i="10"/>
  <c r="AN37" i="10"/>
  <c r="BG37" i="10" s="1"/>
  <c r="AM37" i="10"/>
  <c r="BF37" i="10" s="1"/>
  <c r="Z37" i="10" s="1"/>
  <c r="AJ37" i="10"/>
  <c r="AH37" i="10"/>
  <c r="AF37" i="10"/>
  <c r="AE37" i="10"/>
  <c r="AD37" i="10"/>
  <c r="AC37" i="10"/>
  <c r="AB37" i="10"/>
  <c r="AA37" i="10"/>
  <c r="X37" i="10"/>
  <c r="L37" i="10"/>
  <c r="BD37" i="10" s="1"/>
  <c r="J37" i="10"/>
  <c r="AI37" i="10" s="1"/>
  <c r="I37" i="10"/>
  <c r="I34" i="10" s="1"/>
  <c r="BU35" i="10"/>
  <c r="BH35" i="10"/>
  <c r="BD35" i="10"/>
  <c r="BB35" i="10"/>
  <c r="AV35" i="10"/>
  <c r="AN35" i="10"/>
  <c r="BG35" i="10" s="1"/>
  <c r="AA35" i="10" s="1"/>
  <c r="AM35" i="10"/>
  <c r="BF35" i="10" s="1"/>
  <c r="Z35" i="10" s="1"/>
  <c r="AJ35" i="10"/>
  <c r="AH35" i="10"/>
  <c r="AQ34" i="10" s="1"/>
  <c r="AF35" i="10"/>
  <c r="AE35" i="10"/>
  <c r="AD35" i="10"/>
  <c r="AC35" i="10"/>
  <c r="AB35" i="10"/>
  <c r="X35" i="10"/>
  <c r="L35" i="10"/>
  <c r="J35" i="10"/>
  <c r="AI35" i="10" s="1"/>
  <c r="I35" i="10"/>
  <c r="H35" i="10"/>
  <c r="BU32" i="10"/>
  <c r="BH32" i="10"/>
  <c r="BB32" i="10"/>
  <c r="AV32" i="10"/>
  <c r="AN32" i="10"/>
  <c r="AM32" i="10"/>
  <c r="AU32" i="10" s="1"/>
  <c r="AJ32" i="10"/>
  <c r="AH32" i="10"/>
  <c r="AF32" i="10"/>
  <c r="AE32" i="10"/>
  <c r="AD32" i="10"/>
  <c r="AC32" i="10"/>
  <c r="AB32" i="10"/>
  <c r="X32" i="10"/>
  <c r="L32" i="10"/>
  <c r="BD32" i="10" s="1"/>
  <c r="J32" i="10"/>
  <c r="AI32" i="10" s="1"/>
  <c r="BU30" i="10"/>
  <c r="BH30" i="10"/>
  <c r="BB30" i="10"/>
  <c r="AN30" i="10"/>
  <c r="AM30" i="10"/>
  <c r="BF30" i="10" s="1"/>
  <c r="AJ30" i="10"/>
  <c r="AH30" i="10"/>
  <c r="AF30" i="10"/>
  <c r="AE30" i="10"/>
  <c r="AD30" i="10"/>
  <c r="AC30" i="10"/>
  <c r="AB30" i="10"/>
  <c r="Z30" i="10"/>
  <c r="X30" i="10"/>
  <c r="L30" i="10"/>
  <c r="BD30" i="10" s="1"/>
  <c r="J30" i="10"/>
  <c r="H30" i="10"/>
  <c r="BU28" i="10"/>
  <c r="BH28" i="10"/>
  <c r="BB28" i="10"/>
  <c r="AV28" i="10"/>
  <c r="AU28" i="10"/>
  <c r="AN28" i="10"/>
  <c r="BG28" i="10" s="1"/>
  <c r="AA28" i="10" s="1"/>
  <c r="AM28" i="10"/>
  <c r="BF28" i="10" s="1"/>
  <c r="Z28" i="10" s="1"/>
  <c r="AJ28" i="10"/>
  <c r="AH28" i="10"/>
  <c r="AF28" i="10"/>
  <c r="AE28" i="10"/>
  <c r="AD28" i="10"/>
  <c r="AC28" i="10"/>
  <c r="AB28" i="10"/>
  <c r="X28" i="10"/>
  <c r="L28" i="10"/>
  <c r="BD28" i="10" s="1"/>
  <c r="J28" i="10"/>
  <c r="AI28" i="10" s="1"/>
  <c r="H28" i="10"/>
  <c r="BU26" i="10"/>
  <c r="BH26" i="10"/>
  <c r="BB26" i="10"/>
  <c r="AN26" i="10"/>
  <c r="BG26" i="10" s="1"/>
  <c r="AA26" i="10" s="1"/>
  <c r="AM26" i="10"/>
  <c r="BF26" i="10" s="1"/>
  <c r="AJ26" i="10"/>
  <c r="AH26" i="10"/>
  <c r="AF26" i="10"/>
  <c r="AE26" i="10"/>
  <c r="AD26" i="10"/>
  <c r="AC26" i="10"/>
  <c r="AB26" i="10"/>
  <c r="Z26" i="10"/>
  <c r="X26" i="10"/>
  <c r="L26" i="10"/>
  <c r="BD26" i="10" s="1"/>
  <c r="J26" i="10"/>
  <c r="BU24" i="10"/>
  <c r="BH24" i="10"/>
  <c r="BB24" i="10"/>
  <c r="AN24" i="10"/>
  <c r="BG24" i="10" s="1"/>
  <c r="AM24" i="10"/>
  <c r="AU24" i="10" s="1"/>
  <c r="AJ24" i="10"/>
  <c r="AH24" i="10"/>
  <c r="AF24" i="10"/>
  <c r="AE24" i="10"/>
  <c r="AD24" i="10"/>
  <c r="AC24" i="10"/>
  <c r="AB24" i="10"/>
  <c r="AA24" i="10"/>
  <c r="X24" i="10"/>
  <c r="L24" i="10"/>
  <c r="J24" i="10"/>
  <c r="AI24" i="10" s="1"/>
  <c r="I24" i="10"/>
  <c r="BU22" i="10"/>
  <c r="BH22" i="10"/>
  <c r="BD22" i="10"/>
  <c r="BB22" i="10"/>
  <c r="AN22" i="10"/>
  <c r="AM22" i="10"/>
  <c r="BF22" i="10" s="1"/>
  <c r="AJ22" i="10"/>
  <c r="AH22" i="10"/>
  <c r="AF22" i="10"/>
  <c r="AE22" i="10"/>
  <c r="AD22" i="10"/>
  <c r="AC22" i="10"/>
  <c r="AB22" i="10"/>
  <c r="Z22" i="10"/>
  <c r="X22" i="10"/>
  <c r="L22" i="10"/>
  <c r="J22" i="10"/>
  <c r="H22" i="10"/>
  <c r="BU19" i="10"/>
  <c r="BH19" i="10"/>
  <c r="BB19" i="10"/>
  <c r="AN19" i="10"/>
  <c r="BG19" i="10" s="1"/>
  <c r="AM19" i="10"/>
  <c r="AU19" i="10" s="1"/>
  <c r="AJ19" i="10"/>
  <c r="AH19" i="10"/>
  <c r="AF19" i="10"/>
  <c r="AE19" i="10"/>
  <c r="AD19" i="10"/>
  <c r="AC19" i="10"/>
  <c r="AB19" i="10"/>
  <c r="AA19" i="10"/>
  <c r="X19" i="10"/>
  <c r="L19" i="10"/>
  <c r="BD19" i="10" s="1"/>
  <c r="J19" i="10"/>
  <c r="AI19" i="10" s="1"/>
  <c r="I19" i="10"/>
  <c r="BU17" i="10"/>
  <c r="BH17" i="10"/>
  <c r="BD17" i="10"/>
  <c r="BB17" i="10"/>
  <c r="AN17" i="10"/>
  <c r="AM17" i="10"/>
  <c r="BF17" i="10" s="1"/>
  <c r="AJ17" i="10"/>
  <c r="AH17" i="10"/>
  <c r="AF17" i="10"/>
  <c r="AE17" i="10"/>
  <c r="AD17" i="10"/>
  <c r="AC17" i="10"/>
  <c r="AB17" i="10"/>
  <c r="Z17" i="10"/>
  <c r="X17" i="10"/>
  <c r="L17" i="10"/>
  <c r="J17" i="10"/>
  <c r="I17" i="10"/>
  <c r="H17" i="10"/>
  <c r="BU15" i="10"/>
  <c r="BH15" i="10"/>
  <c r="BB15" i="10"/>
  <c r="AU15" i="10"/>
  <c r="AN15" i="10"/>
  <c r="AM15" i="10"/>
  <c r="H15" i="10" s="1"/>
  <c r="AJ15" i="10"/>
  <c r="AH15" i="10"/>
  <c r="AF15" i="10"/>
  <c r="AE15" i="10"/>
  <c r="AD15" i="10"/>
  <c r="AC15" i="10"/>
  <c r="AB15" i="10"/>
  <c r="X15" i="10"/>
  <c r="L15" i="10"/>
  <c r="BD15" i="10" s="1"/>
  <c r="J15" i="10"/>
  <c r="AI15" i="10" s="1"/>
  <c r="I15" i="10"/>
  <c r="BU13" i="10"/>
  <c r="BH13" i="10"/>
  <c r="BB13" i="10"/>
  <c r="AN13" i="10"/>
  <c r="BG13" i="10" s="1"/>
  <c r="AA13" i="10" s="1"/>
  <c r="AM13" i="10"/>
  <c r="BF13" i="10" s="1"/>
  <c r="Z13" i="10" s="1"/>
  <c r="AJ13" i="10"/>
  <c r="AH13" i="10"/>
  <c r="AQ12" i="10" s="1"/>
  <c r="AF13" i="10"/>
  <c r="AE13" i="10"/>
  <c r="AD13" i="10"/>
  <c r="AC13" i="10"/>
  <c r="AB13" i="10"/>
  <c r="X13" i="10"/>
  <c r="L13" i="10"/>
  <c r="BD13" i="10" s="1"/>
  <c r="J13" i="10"/>
  <c r="AI13" i="10" s="1"/>
  <c r="AS1" i="10"/>
  <c r="AR1" i="10"/>
  <c r="AQ1" i="10"/>
  <c r="BU167" i="9"/>
  <c r="BH167" i="9"/>
  <c r="AF167" i="9" s="1"/>
  <c r="BG167" i="9"/>
  <c r="BB167" i="9"/>
  <c r="AN167" i="9"/>
  <c r="AM167" i="9"/>
  <c r="BF167" i="9" s="1"/>
  <c r="AJ167" i="9"/>
  <c r="AH167" i="9"/>
  <c r="AE167" i="9"/>
  <c r="AD167" i="9"/>
  <c r="AC167" i="9"/>
  <c r="AB167" i="9"/>
  <c r="AA167" i="9"/>
  <c r="Z167" i="9"/>
  <c r="X167" i="9"/>
  <c r="L167" i="9"/>
  <c r="BD167" i="9" s="1"/>
  <c r="J167" i="9"/>
  <c r="AI167" i="9" s="1"/>
  <c r="H167" i="9"/>
  <c r="BU165" i="9"/>
  <c r="BH165" i="9"/>
  <c r="BB165" i="9"/>
  <c r="AN165" i="9"/>
  <c r="BG165" i="9" s="1"/>
  <c r="AM165" i="9"/>
  <c r="AJ165" i="9"/>
  <c r="AH165" i="9"/>
  <c r="AF165" i="9"/>
  <c r="AE165" i="9"/>
  <c r="AD165" i="9"/>
  <c r="AC165" i="9"/>
  <c r="AB165" i="9"/>
  <c r="AA165" i="9"/>
  <c r="Z165" i="9"/>
  <c r="X165" i="9"/>
  <c r="L165" i="9"/>
  <c r="BD165" i="9" s="1"/>
  <c r="J165" i="9"/>
  <c r="AI165" i="9" s="1"/>
  <c r="BU164" i="9"/>
  <c r="BH164" i="9"/>
  <c r="BD164" i="9"/>
  <c r="BB164" i="9"/>
  <c r="AU164" i="9"/>
  <c r="AN164" i="9"/>
  <c r="BG164" i="9" s="1"/>
  <c r="AM164" i="9"/>
  <c r="BF164" i="9" s="1"/>
  <c r="AJ164" i="9"/>
  <c r="AH164" i="9"/>
  <c r="AF164" i="9"/>
  <c r="AE164" i="9"/>
  <c r="AD164" i="9"/>
  <c r="AC164" i="9"/>
  <c r="AB164" i="9"/>
  <c r="AA164" i="9"/>
  <c r="Z164" i="9"/>
  <c r="X164" i="9"/>
  <c r="L164" i="9"/>
  <c r="J164" i="9"/>
  <c r="AI164" i="9" s="1"/>
  <c r="H164" i="9"/>
  <c r="BU163" i="9"/>
  <c r="BH163" i="9"/>
  <c r="AF163" i="9" s="1"/>
  <c r="BB163" i="9"/>
  <c r="AN163" i="9"/>
  <c r="BG163" i="9" s="1"/>
  <c r="AM163" i="9"/>
  <c r="BF163" i="9" s="1"/>
  <c r="AJ163" i="9"/>
  <c r="AH163" i="9"/>
  <c r="AE163" i="9"/>
  <c r="AD163" i="9"/>
  <c r="AC163" i="9"/>
  <c r="AB163" i="9"/>
  <c r="AA163" i="9"/>
  <c r="Z163" i="9"/>
  <c r="X163" i="9"/>
  <c r="L163" i="9"/>
  <c r="BD163" i="9" s="1"/>
  <c r="J163" i="9"/>
  <c r="AI163" i="9" s="1"/>
  <c r="BU162" i="9"/>
  <c r="BH162" i="9"/>
  <c r="AF162" i="9" s="1"/>
  <c r="BB162" i="9"/>
  <c r="AN162" i="9"/>
  <c r="BG162" i="9" s="1"/>
  <c r="AM162" i="9"/>
  <c r="BF162" i="9" s="1"/>
  <c r="AJ162" i="9"/>
  <c r="AH162" i="9"/>
  <c r="AE162" i="9"/>
  <c r="AD162" i="9"/>
  <c r="AC162" i="9"/>
  <c r="AB162" i="9"/>
  <c r="AA162" i="9"/>
  <c r="Z162" i="9"/>
  <c r="X162" i="9"/>
  <c r="L162" i="9"/>
  <c r="BD162" i="9" s="1"/>
  <c r="J162" i="9"/>
  <c r="AI162" i="9" s="1"/>
  <c r="BU161" i="9"/>
  <c r="BH161" i="9"/>
  <c r="AF161" i="9" s="1"/>
  <c r="BB161" i="9"/>
  <c r="AN161" i="9"/>
  <c r="BG161" i="9" s="1"/>
  <c r="AM161" i="9"/>
  <c r="AJ161" i="9"/>
  <c r="AH161" i="9"/>
  <c r="AE161" i="9"/>
  <c r="AD161" i="9"/>
  <c r="AC161" i="9"/>
  <c r="AB161" i="9"/>
  <c r="AA161" i="9"/>
  <c r="Z161" i="9"/>
  <c r="X161" i="9"/>
  <c r="L161" i="9"/>
  <c r="BD161" i="9" s="1"/>
  <c r="J161" i="9"/>
  <c r="AI161" i="9" s="1"/>
  <c r="I161" i="9"/>
  <c r="BU160" i="9"/>
  <c r="BH160" i="9"/>
  <c r="BD160" i="9"/>
  <c r="BB160" i="9"/>
  <c r="AN160" i="9"/>
  <c r="BG160" i="9" s="1"/>
  <c r="AM160" i="9"/>
  <c r="BF160" i="9" s="1"/>
  <c r="AJ160" i="9"/>
  <c r="AH160" i="9"/>
  <c r="AF160" i="9"/>
  <c r="AE160" i="9"/>
  <c r="AD160" i="9"/>
  <c r="AC160" i="9"/>
  <c r="AB160" i="9"/>
  <c r="AA160" i="9"/>
  <c r="Z160" i="9"/>
  <c r="X160" i="9"/>
  <c r="L160" i="9"/>
  <c r="J160" i="9"/>
  <c r="AI160" i="9" s="1"/>
  <c r="I160" i="9"/>
  <c r="BU159" i="9"/>
  <c r="BH159" i="9"/>
  <c r="AF159" i="9" s="1"/>
  <c r="BB159" i="9"/>
  <c r="AN159" i="9"/>
  <c r="BG159" i="9" s="1"/>
  <c r="AM159" i="9"/>
  <c r="BF159" i="9" s="1"/>
  <c r="AJ159" i="9"/>
  <c r="AI159" i="9"/>
  <c r="AH159" i="9"/>
  <c r="AE159" i="9"/>
  <c r="AD159" i="9"/>
  <c r="AC159" i="9"/>
  <c r="AB159" i="9"/>
  <c r="AA159" i="9"/>
  <c r="Z159" i="9"/>
  <c r="X159" i="9"/>
  <c r="L159" i="9"/>
  <c r="BD159" i="9" s="1"/>
  <c r="J159" i="9"/>
  <c r="I159" i="9"/>
  <c r="H159" i="9"/>
  <c r="BU157" i="9"/>
  <c r="BH157" i="9"/>
  <c r="BB157" i="9"/>
  <c r="AN157" i="9"/>
  <c r="AM157" i="9"/>
  <c r="BF157" i="9" s="1"/>
  <c r="AJ157" i="9"/>
  <c r="AH157" i="9"/>
  <c r="AF157" i="9"/>
  <c r="AE157" i="9"/>
  <c r="AD157" i="9"/>
  <c r="AC157" i="9"/>
  <c r="AB157" i="9"/>
  <c r="AA157" i="9"/>
  <c r="Z157" i="9"/>
  <c r="X157" i="9"/>
  <c r="L157" i="9"/>
  <c r="BD157" i="9" s="1"/>
  <c r="J157" i="9"/>
  <c r="AI157" i="9" s="1"/>
  <c r="H157" i="9"/>
  <c r="BU155" i="9"/>
  <c r="BH155" i="9"/>
  <c r="AF155" i="9" s="1"/>
  <c r="BB155" i="9"/>
  <c r="AN155" i="9"/>
  <c r="BG155" i="9" s="1"/>
  <c r="AM155" i="9"/>
  <c r="AJ155" i="9"/>
  <c r="AH155" i="9"/>
  <c r="AE155" i="9"/>
  <c r="AD155" i="9"/>
  <c r="AC155" i="9"/>
  <c r="AB155" i="9"/>
  <c r="AA155" i="9"/>
  <c r="Z155" i="9"/>
  <c r="X155" i="9"/>
  <c r="L155" i="9"/>
  <c r="J155" i="9"/>
  <c r="AI155" i="9" s="1"/>
  <c r="BU153" i="9"/>
  <c r="BH153" i="9"/>
  <c r="BD153" i="9"/>
  <c r="BB153" i="9"/>
  <c r="AN153" i="9"/>
  <c r="BG153" i="9" s="1"/>
  <c r="AM153" i="9"/>
  <c r="BF153" i="9" s="1"/>
  <c r="AJ153" i="9"/>
  <c r="AH153" i="9"/>
  <c r="AF153" i="9"/>
  <c r="AE153" i="9"/>
  <c r="AD153" i="9"/>
  <c r="AC153" i="9"/>
  <c r="AB153" i="9"/>
  <c r="AA153" i="9"/>
  <c r="Z153" i="9"/>
  <c r="X153" i="9"/>
  <c r="L153" i="9"/>
  <c r="J153" i="9"/>
  <c r="AI153" i="9" s="1"/>
  <c r="BU151" i="9"/>
  <c r="BH151" i="9"/>
  <c r="AF151" i="9" s="1"/>
  <c r="BB151" i="9"/>
  <c r="AN151" i="9"/>
  <c r="BG151" i="9" s="1"/>
  <c r="AM151" i="9"/>
  <c r="BF151" i="9" s="1"/>
  <c r="AJ151" i="9"/>
  <c r="AH151" i="9"/>
  <c r="AE151" i="9"/>
  <c r="AD151" i="9"/>
  <c r="AC151" i="9"/>
  <c r="AB151" i="9"/>
  <c r="AA151" i="9"/>
  <c r="Z151" i="9"/>
  <c r="X151" i="9"/>
  <c r="L151" i="9"/>
  <c r="BD151" i="9" s="1"/>
  <c r="J151" i="9"/>
  <c r="AI151" i="9" s="1"/>
  <c r="I151" i="9"/>
  <c r="BU149" i="9"/>
  <c r="BH149" i="9"/>
  <c r="AF149" i="9" s="1"/>
  <c r="BB149" i="9"/>
  <c r="AN149" i="9"/>
  <c r="BG149" i="9" s="1"/>
  <c r="AM149" i="9"/>
  <c r="BF149" i="9" s="1"/>
  <c r="AJ149" i="9"/>
  <c r="AH149" i="9"/>
  <c r="AE149" i="9"/>
  <c r="AD149" i="9"/>
  <c r="AC149" i="9"/>
  <c r="AB149" i="9"/>
  <c r="AA149" i="9"/>
  <c r="Z149" i="9"/>
  <c r="X149" i="9"/>
  <c r="L149" i="9"/>
  <c r="BD149" i="9" s="1"/>
  <c r="J149" i="9"/>
  <c r="AI149" i="9" s="1"/>
  <c r="H149" i="9"/>
  <c r="BU147" i="9"/>
  <c r="BH147" i="9"/>
  <c r="BB147" i="9"/>
  <c r="AN147" i="9"/>
  <c r="BG147" i="9" s="1"/>
  <c r="AM147" i="9"/>
  <c r="AJ147" i="9"/>
  <c r="AH147" i="9"/>
  <c r="AF147" i="9"/>
  <c r="AE147" i="9"/>
  <c r="AD147" i="9"/>
  <c r="AC147" i="9"/>
  <c r="AB147" i="9"/>
  <c r="AA147" i="9"/>
  <c r="Z147" i="9"/>
  <c r="X147" i="9"/>
  <c r="L147" i="9"/>
  <c r="BD147" i="9" s="1"/>
  <c r="J147" i="9"/>
  <c r="AI147" i="9" s="1"/>
  <c r="BU145" i="9"/>
  <c r="BH145" i="9"/>
  <c r="BD145" i="9"/>
  <c r="BB145" i="9"/>
  <c r="AU145" i="9"/>
  <c r="AN145" i="9"/>
  <c r="BG145" i="9" s="1"/>
  <c r="AM145" i="9"/>
  <c r="BF145" i="9" s="1"/>
  <c r="AJ145" i="9"/>
  <c r="AH145" i="9"/>
  <c r="AF145" i="9"/>
  <c r="AE145" i="9"/>
  <c r="AD145" i="9"/>
  <c r="AC145" i="9"/>
  <c r="AB145" i="9"/>
  <c r="AA145" i="9"/>
  <c r="Z145" i="9"/>
  <c r="X145" i="9"/>
  <c r="L145" i="9"/>
  <c r="J145" i="9"/>
  <c r="H145" i="9"/>
  <c r="BU143" i="9"/>
  <c r="BH143" i="9"/>
  <c r="AF143" i="9" s="1"/>
  <c r="BB143" i="9"/>
  <c r="AN143" i="9"/>
  <c r="BG143" i="9" s="1"/>
  <c r="AM143" i="9"/>
  <c r="BF143" i="9" s="1"/>
  <c r="AJ143" i="9"/>
  <c r="AH143" i="9"/>
  <c r="AE143" i="9"/>
  <c r="AD143" i="9"/>
  <c r="AC143" i="9"/>
  <c r="AB143" i="9"/>
  <c r="AA143" i="9"/>
  <c r="Z143" i="9"/>
  <c r="X143" i="9"/>
  <c r="L143" i="9"/>
  <c r="BD143" i="9" s="1"/>
  <c r="J143" i="9"/>
  <c r="AI143" i="9" s="1"/>
  <c r="BU141" i="9"/>
  <c r="BH141" i="9"/>
  <c r="AF141" i="9" s="1"/>
  <c r="BB141" i="9"/>
  <c r="AN141" i="9"/>
  <c r="BG141" i="9" s="1"/>
  <c r="AM141" i="9"/>
  <c r="BF141" i="9" s="1"/>
  <c r="AJ141" i="9"/>
  <c r="AH141" i="9"/>
  <c r="AE141" i="9"/>
  <c r="AD141" i="9"/>
  <c r="AC141" i="9"/>
  <c r="AB141" i="9"/>
  <c r="AA141" i="9"/>
  <c r="Z141" i="9"/>
  <c r="X141" i="9"/>
  <c r="L141" i="9"/>
  <c r="BD141" i="9" s="1"/>
  <c r="J141" i="9"/>
  <c r="AI141" i="9" s="1"/>
  <c r="H141" i="9"/>
  <c r="BU139" i="9"/>
  <c r="BH139" i="9"/>
  <c r="X139" i="9" s="1"/>
  <c r="BD139" i="9"/>
  <c r="BB139" i="9"/>
  <c r="AN139" i="9"/>
  <c r="BG139" i="9" s="1"/>
  <c r="AM139" i="9"/>
  <c r="BF139" i="9" s="1"/>
  <c r="AJ139" i="9"/>
  <c r="AS136" i="9" s="1"/>
  <c r="AH139" i="9"/>
  <c r="AF139" i="9"/>
  <c r="AE139" i="9"/>
  <c r="AD139" i="9"/>
  <c r="AC139" i="9"/>
  <c r="AB139" i="9"/>
  <c r="AA139" i="9"/>
  <c r="Z139" i="9"/>
  <c r="L139" i="9"/>
  <c r="J139" i="9"/>
  <c r="I139" i="9"/>
  <c r="BU138" i="9"/>
  <c r="BH138" i="9"/>
  <c r="X138" i="9" s="1"/>
  <c r="BB138" i="9"/>
  <c r="AN138" i="9"/>
  <c r="BG138" i="9" s="1"/>
  <c r="AM138" i="9"/>
  <c r="BF138" i="9" s="1"/>
  <c r="AJ138" i="9"/>
  <c r="AI138" i="9"/>
  <c r="AH138" i="9"/>
  <c r="AF138" i="9"/>
  <c r="AE138" i="9"/>
  <c r="AD138" i="9"/>
  <c r="AC138" i="9"/>
  <c r="AB138" i="9"/>
  <c r="AA138" i="9"/>
  <c r="Z138" i="9"/>
  <c r="L138" i="9"/>
  <c r="BD138" i="9" s="1"/>
  <c r="J138" i="9"/>
  <c r="I138" i="9"/>
  <c r="H138" i="9"/>
  <c r="BU137" i="9"/>
  <c r="BH137" i="9"/>
  <c r="BB137" i="9"/>
  <c r="AN137" i="9"/>
  <c r="AM137" i="9"/>
  <c r="BF137" i="9" s="1"/>
  <c r="AJ137" i="9"/>
  <c r="AH137" i="9"/>
  <c r="AQ136" i="9" s="1"/>
  <c r="AF137" i="9"/>
  <c r="AE137" i="9"/>
  <c r="AD137" i="9"/>
  <c r="AC137" i="9"/>
  <c r="AB137" i="9"/>
  <c r="AA137" i="9"/>
  <c r="Z137" i="9"/>
  <c r="X137" i="9"/>
  <c r="L137" i="9"/>
  <c r="BD137" i="9" s="1"/>
  <c r="J137" i="9"/>
  <c r="AI137" i="9" s="1"/>
  <c r="H137" i="9"/>
  <c r="L136" i="9"/>
  <c r="BU135" i="9"/>
  <c r="BH135" i="9"/>
  <c r="BD135" i="9"/>
  <c r="BB135" i="9"/>
  <c r="AU135" i="9"/>
  <c r="AN135" i="9"/>
  <c r="BG135" i="9" s="1"/>
  <c r="AM135" i="9"/>
  <c r="BF135" i="9" s="1"/>
  <c r="AJ135" i="9"/>
  <c r="AH135" i="9"/>
  <c r="AF135" i="9"/>
  <c r="AE135" i="9"/>
  <c r="AD135" i="9"/>
  <c r="AC135" i="9"/>
  <c r="AB135" i="9"/>
  <c r="AA135" i="9"/>
  <c r="Z135" i="9"/>
  <c r="X135" i="9"/>
  <c r="L135" i="9"/>
  <c r="J135" i="9"/>
  <c r="AI135" i="9" s="1"/>
  <c r="I135" i="9"/>
  <c r="H135" i="9"/>
  <c r="BU133" i="9"/>
  <c r="BH133" i="9"/>
  <c r="X133" i="9" s="1"/>
  <c r="BB133" i="9"/>
  <c r="AN133" i="9"/>
  <c r="BG133" i="9" s="1"/>
  <c r="AM133" i="9"/>
  <c r="BF133" i="9" s="1"/>
  <c r="AJ133" i="9"/>
  <c r="AI133" i="9"/>
  <c r="AH133" i="9"/>
  <c r="AF133" i="9"/>
  <c r="AE133" i="9"/>
  <c r="AD133" i="9"/>
  <c r="AC133" i="9"/>
  <c r="AB133" i="9"/>
  <c r="AA133" i="9"/>
  <c r="Z133" i="9"/>
  <c r="L133" i="9"/>
  <c r="BD133" i="9" s="1"/>
  <c r="J133" i="9"/>
  <c r="H133" i="9"/>
  <c r="BU131" i="9"/>
  <c r="BH131" i="9"/>
  <c r="BB131" i="9"/>
  <c r="AN131" i="9"/>
  <c r="BG131" i="9" s="1"/>
  <c r="AM131" i="9"/>
  <c r="BF131" i="9" s="1"/>
  <c r="AJ131" i="9"/>
  <c r="AH131" i="9"/>
  <c r="AF131" i="9"/>
  <c r="AE131" i="9"/>
  <c r="AD131" i="9"/>
  <c r="AC131" i="9"/>
  <c r="AB131" i="9"/>
  <c r="AA131" i="9"/>
  <c r="Z131" i="9"/>
  <c r="X131" i="9"/>
  <c r="L131" i="9"/>
  <c r="BD131" i="9" s="1"/>
  <c r="J131" i="9"/>
  <c r="AI131" i="9" s="1"/>
  <c r="BU130" i="9"/>
  <c r="BH130" i="9"/>
  <c r="X130" i="9" s="1"/>
  <c r="BB130" i="9"/>
  <c r="AN130" i="9"/>
  <c r="BG130" i="9" s="1"/>
  <c r="AM130" i="9"/>
  <c r="AJ130" i="9"/>
  <c r="AS129" i="9" s="1"/>
  <c r="AH130" i="9"/>
  <c r="AF130" i="9"/>
  <c r="AE130" i="9"/>
  <c r="AD130" i="9"/>
  <c r="AC130" i="9"/>
  <c r="AB130" i="9"/>
  <c r="AA130" i="9"/>
  <c r="Z130" i="9"/>
  <c r="L130" i="9"/>
  <c r="J130" i="9"/>
  <c r="AI130" i="9" s="1"/>
  <c r="I130" i="9"/>
  <c r="BU127" i="9"/>
  <c r="BH127" i="9"/>
  <c r="BB127" i="9"/>
  <c r="AN127" i="9"/>
  <c r="BG127" i="9" s="1"/>
  <c r="AA127" i="9" s="1"/>
  <c r="AM127" i="9"/>
  <c r="BF127" i="9" s="1"/>
  <c r="Z127" i="9" s="1"/>
  <c r="AJ127" i="9"/>
  <c r="AS126" i="9" s="1"/>
  <c r="AH127" i="9"/>
  <c r="AF127" i="9"/>
  <c r="AE127" i="9"/>
  <c r="AD127" i="9"/>
  <c r="AC127" i="9"/>
  <c r="AB127" i="9"/>
  <c r="X127" i="9"/>
  <c r="L127" i="9"/>
  <c r="BD127" i="9" s="1"/>
  <c r="J127" i="9"/>
  <c r="AI127" i="9" s="1"/>
  <c r="AR126" i="9" s="1"/>
  <c r="I127" i="9"/>
  <c r="I126" i="9" s="1"/>
  <c r="H127" i="9"/>
  <c r="H126" i="9" s="1"/>
  <c r="AQ126" i="9"/>
  <c r="L126" i="9"/>
  <c r="J126" i="9"/>
  <c r="BU124" i="9"/>
  <c r="BH124" i="9"/>
  <c r="BB124" i="9"/>
  <c r="AN124" i="9"/>
  <c r="BG124" i="9" s="1"/>
  <c r="AA124" i="9" s="1"/>
  <c r="AM124" i="9"/>
  <c r="AJ124" i="9"/>
  <c r="AH124" i="9"/>
  <c r="AF124" i="9"/>
  <c r="AE124" i="9"/>
  <c r="AD124" i="9"/>
  <c r="AC124" i="9"/>
  <c r="AB124" i="9"/>
  <c r="X124" i="9"/>
  <c r="L124" i="9"/>
  <c r="BD124" i="9" s="1"/>
  <c r="J124" i="9"/>
  <c r="AI124" i="9" s="1"/>
  <c r="I124" i="9"/>
  <c r="BU122" i="9"/>
  <c r="BH122" i="9"/>
  <c r="BD122" i="9"/>
  <c r="BB122" i="9"/>
  <c r="AU122" i="9"/>
  <c r="AN122" i="9"/>
  <c r="I122" i="9" s="1"/>
  <c r="AM122" i="9"/>
  <c r="BF122" i="9" s="1"/>
  <c r="Z122" i="9" s="1"/>
  <c r="AJ122" i="9"/>
  <c r="AH122" i="9"/>
  <c r="AF122" i="9"/>
  <c r="AE122" i="9"/>
  <c r="AD122" i="9"/>
  <c r="AC122" i="9"/>
  <c r="AB122" i="9"/>
  <c r="X122" i="9"/>
  <c r="L122" i="9"/>
  <c r="J122" i="9"/>
  <c r="AI122" i="9" s="1"/>
  <c r="H122" i="9"/>
  <c r="BU120" i="9"/>
  <c r="BH120" i="9"/>
  <c r="BB120" i="9"/>
  <c r="AV120" i="9"/>
  <c r="AN120" i="9"/>
  <c r="BG120" i="9" s="1"/>
  <c r="AA120" i="9" s="1"/>
  <c r="AM120" i="9"/>
  <c r="H120" i="9" s="1"/>
  <c r="AJ120" i="9"/>
  <c r="AI120" i="9"/>
  <c r="AH120" i="9"/>
  <c r="AF120" i="9"/>
  <c r="AE120" i="9"/>
  <c r="AD120" i="9"/>
  <c r="AC120" i="9"/>
  <c r="AB120" i="9"/>
  <c r="X120" i="9"/>
  <c r="L120" i="9"/>
  <c r="BD120" i="9" s="1"/>
  <c r="J120" i="9"/>
  <c r="I120" i="9"/>
  <c r="BU118" i="9"/>
  <c r="BH118" i="9"/>
  <c r="BB118" i="9"/>
  <c r="AN118" i="9"/>
  <c r="AM118" i="9"/>
  <c r="BF118" i="9" s="1"/>
  <c r="Z118" i="9" s="1"/>
  <c r="AJ118" i="9"/>
  <c r="AH118" i="9"/>
  <c r="AF118" i="9"/>
  <c r="AE118" i="9"/>
  <c r="AD118" i="9"/>
  <c r="AC118" i="9"/>
  <c r="AB118" i="9"/>
  <c r="X118" i="9"/>
  <c r="L118" i="9"/>
  <c r="BD118" i="9" s="1"/>
  <c r="J118" i="9"/>
  <c r="AI118" i="9" s="1"/>
  <c r="BU116" i="9"/>
  <c r="BH116" i="9"/>
  <c r="BB116" i="9"/>
  <c r="AN116" i="9"/>
  <c r="BG116" i="9" s="1"/>
  <c r="AA116" i="9" s="1"/>
  <c r="AM116" i="9"/>
  <c r="AJ116" i="9"/>
  <c r="AH116" i="9"/>
  <c r="AF116" i="9"/>
  <c r="AE116" i="9"/>
  <c r="AD116" i="9"/>
  <c r="AC116" i="9"/>
  <c r="AB116" i="9"/>
  <c r="X116" i="9"/>
  <c r="L116" i="9"/>
  <c r="BD116" i="9" s="1"/>
  <c r="J116" i="9"/>
  <c r="AI116" i="9" s="1"/>
  <c r="I116" i="9"/>
  <c r="BU114" i="9"/>
  <c r="BH114" i="9"/>
  <c r="BB114" i="9"/>
  <c r="AN114" i="9"/>
  <c r="AM114" i="9"/>
  <c r="BF114" i="9" s="1"/>
  <c r="Z114" i="9" s="1"/>
  <c r="AJ114" i="9"/>
  <c r="AH114" i="9"/>
  <c r="AF114" i="9"/>
  <c r="AE114" i="9"/>
  <c r="AD114" i="9"/>
  <c r="AC114" i="9"/>
  <c r="AB114" i="9"/>
  <c r="X114" i="9"/>
  <c r="L114" i="9"/>
  <c r="BD114" i="9" s="1"/>
  <c r="J114" i="9"/>
  <c r="AI114" i="9" s="1"/>
  <c r="H114" i="9"/>
  <c r="BU112" i="9"/>
  <c r="BH112" i="9"/>
  <c r="BB112" i="9"/>
  <c r="AV112" i="9"/>
  <c r="AN112" i="9"/>
  <c r="BG112" i="9" s="1"/>
  <c r="AA112" i="9" s="1"/>
  <c r="AM112" i="9"/>
  <c r="AJ112" i="9"/>
  <c r="AH112" i="9"/>
  <c r="AF112" i="9"/>
  <c r="AE112" i="9"/>
  <c r="AD112" i="9"/>
  <c r="AC112" i="9"/>
  <c r="AB112" i="9"/>
  <c r="X112" i="9"/>
  <c r="L112" i="9"/>
  <c r="BD112" i="9" s="1"/>
  <c r="J112" i="9"/>
  <c r="AI112" i="9" s="1"/>
  <c r="I112" i="9"/>
  <c r="BU110" i="9"/>
  <c r="BH110" i="9"/>
  <c r="BD110" i="9"/>
  <c r="BB110" i="9"/>
  <c r="AN110" i="9"/>
  <c r="BG110" i="9" s="1"/>
  <c r="AA110" i="9" s="1"/>
  <c r="AM110" i="9"/>
  <c r="BF110" i="9" s="1"/>
  <c r="Z110" i="9" s="1"/>
  <c r="AJ110" i="9"/>
  <c r="AH110" i="9"/>
  <c r="AF110" i="9"/>
  <c r="AE110" i="9"/>
  <c r="AD110" i="9"/>
  <c r="AC110" i="9"/>
  <c r="AB110" i="9"/>
  <c r="X110" i="9"/>
  <c r="L110" i="9"/>
  <c r="J110" i="9"/>
  <c r="I110" i="9"/>
  <c r="H110" i="9"/>
  <c r="BU108" i="9"/>
  <c r="BH108" i="9"/>
  <c r="BB108" i="9"/>
  <c r="AN108" i="9"/>
  <c r="BG108" i="9" s="1"/>
  <c r="AA108" i="9" s="1"/>
  <c r="AM108" i="9"/>
  <c r="BF108" i="9" s="1"/>
  <c r="Z108" i="9" s="1"/>
  <c r="AJ108" i="9"/>
  <c r="AH108" i="9"/>
  <c r="AF108" i="9"/>
  <c r="AE108" i="9"/>
  <c r="AD108" i="9"/>
  <c r="AC108" i="9"/>
  <c r="AB108" i="9"/>
  <c r="X108" i="9"/>
  <c r="L108" i="9"/>
  <c r="BD108" i="9" s="1"/>
  <c r="J108" i="9"/>
  <c r="AI108" i="9" s="1"/>
  <c r="H108" i="9"/>
  <c r="BU106" i="9"/>
  <c r="BH106" i="9"/>
  <c r="BB106" i="9"/>
  <c r="AN106" i="9"/>
  <c r="AM106" i="9"/>
  <c r="BF106" i="9" s="1"/>
  <c r="Z106" i="9" s="1"/>
  <c r="AJ106" i="9"/>
  <c r="AH106" i="9"/>
  <c r="AF106" i="9"/>
  <c r="AE106" i="9"/>
  <c r="AD106" i="9"/>
  <c r="AC106" i="9"/>
  <c r="AB106" i="9"/>
  <c r="X106" i="9"/>
  <c r="L106" i="9"/>
  <c r="BD106" i="9" s="1"/>
  <c r="J106" i="9"/>
  <c r="AI106" i="9" s="1"/>
  <c r="BU103" i="9"/>
  <c r="BH103" i="9"/>
  <c r="BD103" i="9"/>
  <c r="BB103" i="9"/>
  <c r="AU103" i="9"/>
  <c r="AN103" i="9"/>
  <c r="BG103" i="9" s="1"/>
  <c r="AA103" i="9" s="1"/>
  <c r="AM103" i="9"/>
  <c r="BF103" i="9" s="1"/>
  <c r="Z103" i="9" s="1"/>
  <c r="AJ103" i="9"/>
  <c r="AH103" i="9"/>
  <c r="AF103" i="9"/>
  <c r="AE103" i="9"/>
  <c r="AD103" i="9"/>
  <c r="AC103" i="9"/>
  <c r="AB103" i="9"/>
  <c r="X103" i="9"/>
  <c r="L103" i="9"/>
  <c r="J103" i="9"/>
  <c r="AI103" i="9" s="1"/>
  <c r="H103" i="9"/>
  <c r="BU101" i="9"/>
  <c r="BH101" i="9"/>
  <c r="BB101" i="9"/>
  <c r="AN101" i="9"/>
  <c r="BG101" i="9" s="1"/>
  <c r="AA101" i="9" s="1"/>
  <c r="AM101" i="9"/>
  <c r="BF101" i="9" s="1"/>
  <c r="AJ101" i="9"/>
  <c r="AH101" i="9"/>
  <c r="AF101" i="9"/>
  <c r="AE101" i="9"/>
  <c r="AD101" i="9"/>
  <c r="AC101" i="9"/>
  <c r="AB101" i="9"/>
  <c r="Z101" i="9"/>
  <c r="X101" i="9"/>
  <c r="L101" i="9"/>
  <c r="BD101" i="9" s="1"/>
  <c r="J101" i="9"/>
  <c r="AI101" i="9" s="1"/>
  <c r="I101" i="9"/>
  <c r="BU99" i="9"/>
  <c r="BH99" i="9"/>
  <c r="BG99" i="9"/>
  <c r="AA99" i="9" s="1"/>
  <c r="BB99" i="9"/>
  <c r="AN99" i="9"/>
  <c r="AM99" i="9"/>
  <c r="BF99" i="9" s="1"/>
  <c r="Z99" i="9" s="1"/>
  <c r="AJ99" i="9"/>
  <c r="AH99" i="9"/>
  <c r="AF99" i="9"/>
  <c r="AE99" i="9"/>
  <c r="AD99" i="9"/>
  <c r="AC99" i="9"/>
  <c r="AB99" i="9"/>
  <c r="X99" i="9"/>
  <c r="L99" i="9"/>
  <c r="BD99" i="9" s="1"/>
  <c r="J99" i="9"/>
  <c r="AI99" i="9" s="1"/>
  <c r="BU97" i="9"/>
  <c r="BH97" i="9"/>
  <c r="BB97" i="9"/>
  <c r="AN97" i="9"/>
  <c r="BG97" i="9" s="1"/>
  <c r="AA97" i="9" s="1"/>
  <c r="AM97" i="9"/>
  <c r="AJ97" i="9"/>
  <c r="AH97" i="9"/>
  <c r="AF97" i="9"/>
  <c r="AE97" i="9"/>
  <c r="AD97" i="9"/>
  <c r="AC97" i="9"/>
  <c r="AB97" i="9"/>
  <c r="X97" i="9"/>
  <c r="L97" i="9"/>
  <c r="J97" i="9"/>
  <c r="AI97" i="9" s="1"/>
  <c r="I97" i="9"/>
  <c r="J96" i="9"/>
  <c r="BU94" i="9"/>
  <c r="BH94" i="9"/>
  <c r="BB94" i="9"/>
  <c r="AN94" i="9"/>
  <c r="BG94" i="9" s="1"/>
  <c r="AA94" i="9" s="1"/>
  <c r="AM94" i="9"/>
  <c r="BF94" i="9" s="1"/>
  <c r="Z94" i="9" s="1"/>
  <c r="AJ94" i="9"/>
  <c r="AH94" i="9"/>
  <c r="AF94" i="9"/>
  <c r="AE94" i="9"/>
  <c r="AD94" i="9"/>
  <c r="AC94" i="9"/>
  <c r="AB94" i="9"/>
  <c r="X94" i="9"/>
  <c r="L94" i="9"/>
  <c r="BD94" i="9" s="1"/>
  <c r="J94" i="9"/>
  <c r="AI94" i="9" s="1"/>
  <c r="H94" i="9"/>
  <c r="BU92" i="9"/>
  <c r="BH92" i="9"/>
  <c r="BB92" i="9"/>
  <c r="AN92" i="9"/>
  <c r="AM92" i="9"/>
  <c r="BF92" i="9" s="1"/>
  <c r="Z92" i="9" s="1"/>
  <c r="AJ92" i="9"/>
  <c r="AH92" i="9"/>
  <c r="AF92" i="9"/>
  <c r="AE92" i="9"/>
  <c r="AD92" i="9"/>
  <c r="AC92" i="9"/>
  <c r="AB92" i="9"/>
  <c r="X92" i="9"/>
  <c r="L92" i="9"/>
  <c r="BD92" i="9" s="1"/>
  <c r="J92" i="9"/>
  <c r="AI92" i="9" s="1"/>
  <c r="BU90" i="9"/>
  <c r="BH90" i="9"/>
  <c r="BB90" i="9"/>
  <c r="AN90" i="9"/>
  <c r="BG90" i="9" s="1"/>
  <c r="AA90" i="9" s="1"/>
  <c r="AM90" i="9"/>
  <c r="AJ90" i="9"/>
  <c r="AH90" i="9"/>
  <c r="AF90" i="9"/>
  <c r="AE90" i="9"/>
  <c r="AD90" i="9"/>
  <c r="AC90" i="9"/>
  <c r="AB90" i="9"/>
  <c r="X90" i="9"/>
  <c r="L90" i="9"/>
  <c r="J90" i="9"/>
  <c r="AI90" i="9" s="1"/>
  <c r="I90" i="9"/>
  <c r="BU88" i="9"/>
  <c r="BH88" i="9"/>
  <c r="BD88" i="9"/>
  <c r="BB88" i="9"/>
  <c r="AN88" i="9"/>
  <c r="BG88" i="9" s="1"/>
  <c r="AM88" i="9"/>
  <c r="BF88" i="9" s="1"/>
  <c r="Z88" i="9" s="1"/>
  <c r="AJ88" i="9"/>
  <c r="AS87" i="9" s="1"/>
  <c r="AH88" i="9"/>
  <c r="AF88" i="9"/>
  <c r="AE88" i="9"/>
  <c r="AD88" i="9"/>
  <c r="AC88" i="9"/>
  <c r="AB88" i="9"/>
  <c r="AA88" i="9"/>
  <c r="X88" i="9"/>
  <c r="L88" i="9"/>
  <c r="J88" i="9"/>
  <c r="I88" i="9"/>
  <c r="H88" i="9"/>
  <c r="BU85" i="9"/>
  <c r="BH85" i="9"/>
  <c r="BB85" i="9"/>
  <c r="AU85" i="9"/>
  <c r="AN85" i="9"/>
  <c r="AM85" i="9"/>
  <c r="BF85" i="9" s="1"/>
  <c r="Z85" i="9" s="1"/>
  <c r="AJ85" i="9"/>
  <c r="AS84" i="9" s="1"/>
  <c r="AH85" i="9"/>
  <c r="AQ84" i="9" s="1"/>
  <c r="AF85" i="9"/>
  <c r="AE85" i="9"/>
  <c r="AD85" i="9"/>
  <c r="AC85" i="9"/>
  <c r="AB85" i="9"/>
  <c r="X85" i="9"/>
  <c r="L85" i="9"/>
  <c r="BD85" i="9" s="1"/>
  <c r="J85" i="9"/>
  <c r="J84" i="9" s="1"/>
  <c r="L84" i="9"/>
  <c r="BU82" i="9"/>
  <c r="BH82" i="9"/>
  <c r="BD82" i="9"/>
  <c r="BB82" i="9"/>
  <c r="AU82" i="9"/>
  <c r="AN82" i="9"/>
  <c r="BG82" i="9" s="1"/>
  <c r="AA82" i="9" s="1"/>
  <c r="AM82" i="9"/>
  <c r="BF82" i="9" s="1"/>
  <c r="Z82" i="9" s="1"/>
  <c r="AJ82" i="9"/>
  <c r="AS81" i="9" s="1"/>
  <c r="AH82" i="9"/>
  <c r="AQ81" i="9" s="1"/>
  <c r="AF82" i="9"/>
  <c r="AE82" i="9"/>
  <c r="AD82" i="9"/>
  <c r="AC82" i="9"/>
  <c r="AB82" i="9"/>
  <c r="X82" i="9"/>
  <c r="L82" i="9"/>
  <c r="J82" i="9"/>
  <c r="I82" i="9"/>
  <c r="H82" i="9"/>
  <c r="H81" i="9" s="1"/>
  <c r="L81" i="9"/>
  <c r="I81" i="9"/>
  <c r="BU80" i="9"/>
  <c r="BH80" i="9"/>
  <c r="BB80" i="9"/>
  <c r="AN80" i="9"/>
  <c r="BG80" i="9" s="1"/>
  <c r="AM80" i="9"/>
  <c r="BF80" i="9" s="1"/>
  <c r="AJ80" i="9"/>
  <c r="AH80" i="9"/>
  <c r="AQ75" i="9" s="1"/>
  <c r="AF80" i="9"/>
  <c r="AE80" i="9"/>
  <c r="AD80" i="9"/>
  <c r="AC80" i="9"/>
  <c r="AB80" i="9"/>
  <c r="AA80" i="9"/>
  <c r="Z80" i="9"/>
  <c r="X80" i="9"/>
  <c r="L80" i="9"/>
  <c r="BD80" i="9" s="1"/>
  <c r="J80" i="9"/>
  <c r="AI80" i="9" s="1"/>
  <c r="H80" i="9"/>
  <c r="BU78" i="9"/>
  <c r="BH78" i="9"/>
  <c r="BB78" i="9"/>
  <c r="AN78" i="9"/>
  <c r="BG78" i="9" s="1"/>
  <c r="AA78" i="9" s="1"/>
  <c r="AM78" i="9"/>
  <c r="AJ78" i="9"/>
  <c r="AH78" i="9"/>
  <c r="AF78" i="9"/>
  <c r="AE78" i="9"/>
  <c r="AD78" i="9"/>
  <c r="AC78" i="9"/>
  <c r="AB78" i="9"/>
  <c r="X78" i="9"/>
  <c r="L78" i="9"/>
  <c r="J78" i="9"/>
  <c r="AI78" i="9" s="1"/>
  <c r="I78" i="9"/>
  <c r="BU76" i="9"/>
  <c r="BH76" i="9"/>
  <c r="BD76" i="9"/>
  <c r="BB76" i="9"/>
  <c r="AN76" i="9"/>
  <c r="BG76" i="9" s="1"/>
  <c r="AM76" i="9"/>
  <c r="BF76" i="9" s="1"/>
  <c r="Z76" i="9" s="1"/>
  <c r="AJ76" i="9"/>
  <c r="AS75" i="9" s="1"/>
  <c r="AH76" i="9"/>
  <c r="AF76" i="9"/>
  <c r="AE76" i="9"/>
  <c r="AD76" i="9"/>
  <c r="AC76" i="9"/>
  <c r="AB76" i="9"/>
  <c r="AA76" i="9"/>
  <c r="X76" i="9"/>
  <c r="L76" i="9"/>
  <c r="J76" i="9"/>
  <c r="I76" i="9"/>
  <c r="H76" i="9"/>
  <c r="BU73" i="9"/>
  <c r="BH73" i="9"/>
  <c r="BB73" i="9"/>
  <c r="AN73" i="9"/>
  <c r="BG73" i="9" s="1"/>
  <c r="AA73" i="9" s="1"/>
  <c r="AM73" i="9"/>
  <c r="BF73" i="9" s="1"/>
  <c r="Z73" i="9" s="1"/>
  <c r="AJ73" i="9"/>
  <c r="AH73" i="9"/>
  <c r="AF73" i="9"/>
  <c r="AE73" i="9"/>
  <c r="AD73" i="9"/>
  <c r="AC73" i="9"/>
  <c r="AB73" i="9"/>
  <c r="X73" i="9"/>
  <c r="L73" i="9"/>
  <c r="BD73" i="9" s="1"/>
  <c r="J73" i="9"/>
  <c r="AI73" i="9" s="1"/>
  <c r="H73" i="9"/>
  <c r="BU71" i="9"/>
  <c r="BH71" i="9"/>
  <c r="BB71" i="9"/>
  <c r="AV71" i="9"/>
  <c r="AN71" i="9"/>
  <c r="BG71" i="9" s="1"/>
  <c r="AA71" i="9" s="1"/>
  <c r="AM71" i="9"/>
  <c r="AJ71" i="9"/>
  <c r="AS70" i="9" s="1"/>
  <c r="AH71" i="9"/>
  <c r="AF71" i="9"/>
  <c r="AE71" i="9"/>
  <c r="AD71" i="9"/>
  <c r="AC71" i="9"/>
  <c r="AB71" i="9"/>
  <c r="X71" i="9"/>
  <c r="L71" i="9"/>
  <c r="J71" i="9"/>
  <c r="AI71" i="9" s="1"/>
  <c r="I71" i="9"/>
  <c r="BU68" i="9"/>
  <c r="BH68" i="9"/>
  <c r="BB68" i="9"/>
  <c r="AN68" i="9"/>
  <c r="BG68" i="9" s="1"/>
  <c r="AA68" i="9" s="1"/>
  <c r="AM68" i="9"/>
  <c r="BF68" i="9" s="1"/>
  <c r="Z68" i="9" s="1"/>
  <c r="AJ68" i="9"/>
  <c r="AH68" i="9"/>
  <c r="AF68" i="9"/>
  <c r="AE68" i="9"/>
  <c r="AD68" i="9"/>
  <c r="AC68" i="9"/>
  <c r="AB68" i="9"/>
  <c r="X68" i="9"/>
  <c r="L68" i="9"/>
  <c r="BD68" i="9" s="1"/>
  <c r="J68" i="9"/>
  <c r="AI68" i="9" s="1"/>
  <c r="H68" i="9"/>
  <c r="BU67" i="9"/>
  <c r="BH67" i="9"/>
  <c r="BB67" i="9"/>
  <c r="AN67" i="9"/>
  <c r="AM67" i="9"/>
  <c r="BF67" i="9" s="1"/>
  <c r="Z67" i="9" s="1"/>
  <c r="AJ67" i="9"/>
  <c r="AH67" i="9"/>
  <c r="AF67" i="9"/>
  <c r="AE67" i="9"/>
  <c r="AD67" i="9"/>
  <c r="AC67" i="9"/>
  <c r="AB67" i="9"/>
  <c r="X67" i="9"/>
  <c r="L67" i="9"/>
  <c r="BD67" i="9" s="1"/>
  <c r="J67" i="9"/>
  <c r="AI67" i="9" s="1"/>
  <c r="BU65" i="9"/>
  <c r="BH65" i="9"/>
  <c r="BB65" i="9"/>
  <c r="AN65" i="9"/>
  <c r="BG65" i="9" s="1"/>
  <c r="AA65" i="9" s="1"/>
  <c r="AM65" i="9"/>
  <c r="AJ65" i="9"/>
  <c r="AS64" i="9" s="1"/>
  <c r="AH65" i="9"/>
  <c r="AF65" i="9"/>
  <c r="AE65" i="9"/>
  <c r="AD65" i="9"/>
  <c r="AC65" i="9"/>
  <c r="AB65" i="9"/>
  <c r="X65" i="9"/>
  <c r="L65" i="9"/>
  <c r="J65" i="9"/>
  <c r="AI65" i="9" s="1"/>
  <c r="I65" i="9"/>
  <c r="BU62" i="9"/>
  <c r="BH62" i="9"/>
  <c r="BB62" i="9"/>
  <c r="AV62" i="9"/>
  <c r="AT62" i="9" s="1"/>
  <c r="AN62" i="9"/>
  <c r="BG62" i="9" s="1"/>
  <c r="AA62" i="9" s="1"/>
  <c r="AM62" i="9"/>
  <c r="AU62" i="9" s="1"/>
  <c r="AJ62" i="9"/>
  <c r="AI62" i="9"/>
  <c r="AH62" i="9"/>
  <c r="AF62" i="9"/>
  <c r="AE62" i="9"/>
  <c r="AD62" i="9"/>
  <c r="AC62" i="9"/>
  <c r="AB62" i="9"/>
  <c r="X62" i="9"/>
  <c r="L62" i="9"/>
  <c r="BD62" i="9" s="1"/>
  <c r="J62" i="9"/>
  <c r="I62" i="9"/>
  <c r="H62" i="9"/>
  <c r="BU60" i="9"/>
  <c r="BH60" i="9"/>
  <c r="BG60" i="9"/>
  <c r="BB60" i="9"/>
  <c r="AN60" i="9"/>
  <c r="AV60" i="9" s="1"/>
  <c r="AM60" i="9"/>
  <c r="AJ60" i="9"/>
  <c r="AH60" i="9"/>
  <c r="AF60" i="9"/>
  <c r="AE60" i="9"/>
  <c r="AD60" i="9"/>
  <c r="AC60" i="9"/>
  <c r="AB60" i="9"/>
  <c r="AA60" i="9"/>
  <c r="X60" i="9"/>
  <c r="L60" i="9"/>
  <c r="BD60" i="9" s="1"/>
  <c r="J60" i="9"/>
  <c r="AI60" i="9" s="1"/>
  <c r="I60" i="9"/>
  <c r="BU58" i="9"/>
  <c r="BH58" i="9"/>
  <c r="BB58" i="9"/>
  <c r="AN58" i="9"/>
  <c r="BG58" i="9" s="1"/>
  <c r="AA58" i="9" s="1"/>
  <c r="AM58" i="9"/>
  <c r="BF58" i="9" s="1"/>
  <c r="Z58" i="9" s="1"/>
  <c r="AJ58" i="9"/>
  <c r="AH58" i="9"/>
  <c r="AF58" i="9"/>
  <c r="AE58" i="9"/>
  <c r="AD58" i="9"/>
  <c r="AC58" i="9"/>
  <c r="AB58" i="9"/>
  <c r="X58" i="9"/>
  <c r="L58" i="9"/>
  <c r="BD58" i="9" s="1"/>
  <c r="J58" i="9"/>
  <c r="AI58" i="9" s="1"/>
  <c r="BU56" i="9"/>
  <c r="BH56" i="9"/>
  <c r="BB56" i="9"/>
  <c r="AN56" i="9"/>
  <c r="BG56" i="9" s="1"/>
  <c r="AA56" i="9" s="1"/>
  <c r="AM56" i="9"/>
  <c r="BF56" i="9" s="1"/>
  <c r="Z56" i="9" s="1"/>
  <c r="AJ56" i="9"/>
  <c r="AH56" i="9"/>
  <c r="AF56" i="9"/>
  <c r="AE56" i="9"/>
  <c r="AD56" i="9"/>
  <c r="AC56" i="9"/>
  <c r="AB56" i="9"/>
  <c r="X56" i="9"/>
  <c r="L56" i="9"/>
  <c r="J56" i="9"/>
  <c r="AI56" i="9" s="1"/>
  <c r="I56" i="9"/>
  <c r="BU54" i="9"/>
  <c r="BH54" i="9"/>
  <c r="BD54" i="9"/>
  <c r="BB54" i="9"/>
  <c r="AN54" i="9"/>
  <c r="BG54" i="9" s="1"/>
  <c r="AA54" i="9" s="1"/>
  <c r="AM54" i="9"/>
  <c r="BF54" i="9" s="1"/>
  <c r="Z54" i="9" s="1"/>
  <c r="AJ54" i="9"/>
  <c r="AS51" i="9" s="1"/>
  <c r="AH54" i="9"/>
  <c r="AF54" i="9"/>
  <c r="AE54" i="9"/>
  <c r="AD54" i="9"/>
  <c r="AC54" i="9"/>
  <c r="AB54" i="9"/>
  <c r="X54" i="9"/>
  <c r="L54" i="9"/>
  <c r="J54" i="9"/>
  <c r="I54" i="9"/>
  <c r="H54" i="9"/>
  <c r="BU52" i="9"/>
  <c r="BH52" i="9"/>
  <c r="BB52" i="9"/>
  <c r="AN52" i="9"/>
  <c r="BG52" i="9" s="1"/>
  <c r="AA52" i="9" s="1"/>
  <c r="AM52" i="9"/>
  <c r="BF52" i="9" s="1"/>
  <c r="Z52" i="9" s="1"/>
  <c r="AJ52" i="9"/>
  <c r="AH52" i="9"/>
  <c r="AQ51" i="9" s="1"/>
  <c r="AF52" i="9"/>
  <c r="AE52" i="9"/>
  <c r="AD52" i="9"/>
  <c r="AC52" i="9"/>
  <c r="AB52" i="9"/>
  <c r="X52" i="9"/>
  <c r="L52" i="9"/>
  <c r="BD52" i="9" s="1"/>
  <c r="J52" i="9"/>
  <c r="AI52" i="9" s="1"/>
  <c r="I52" i="9"/>
  <c r="BU49" i="9"/>
  <c r="BH49" i="9"/>
  <c r="BB49" i="9"/>
  <c r="AN49" i="9"/>
  <c r="BG49" i="9" s="1"/>
  <c r="AA49" i="9" s="1"/>
  <c r="AM49" i="9"/>
  <c r="AJ49" i="9"/>
  <c r="AH49" i="9"/>
  <c r="AF49" i="9"/>
  <c r="AE49" i="9"/>
  <c r="AD49" i="9"/>
  <c r="AC49" i="9"/>
  <c r="AB49" i="9"/>
  <c r="X49" i="9"/>
  <c r="L49" i="9"/>
  <c r="J49" i="9"/>
  <c r="AI49" i="9" s="1"/>
  <c r="I49" i="9"/>
  <c r="BU47" i="9"/>
  <c r="BH47" i="9"/>
  <c r="BD47" i="9"/>
  <c r="BB47" i="9"/>
  <c r="AU47" i="9"/>
  <c r="AN47" i="9"/>
  <c r="BG47" i="9" s="1"/>
  <c r="AA47" i="9" s="1"/>
  <c r="AM47" i="9"/>
  <c r="BF47" i="9" s="1"/>
  <c r="Z47" i="9" s="1"/>
  <c r="AJ47" i="9"/>
  <c r="AS46" i="9" s="1"/>
  <c r="AH47" i="9"/>
  <c r="AQ46" i="9" s="1"/>
  <c r="AF47" i="9"/>
  <c r="AE47" i="9"/>
  <c r="AD47" i="9"/>
  <c r="AC47" i="9"/>
  <c r="AB47" i="9"/>
  <c r="X47" i="9"/>
  <c r="L47" i="9"/>
  <c r="J47" i="9"/>
  <c r="I47" i="9"/>
  <c r="H47" i="9"/>
  <c r="I46" i="9"/>
  <c r="BU44" i="9"/>
  <c r="BH44" i="9"/>
  <c r="BB44" i="9"/>
  <c r="AN44" i="9"/>
  <c r="AM44" i="9"/>
  <c r="BF44" i="9" s="1"/>
  <c r="Z44" i="9" s="1"/>
  <c r="AJ44" i="9"/>
  <c r="AH44" i="9"/>
  <c r="AF44" i="9"/>
  <c r="AE44" i="9"/>
  <c r="AD44" i="9"/>
  <c r="AC44" i="9"/>
  <c r="AB44" i="9"/>
  <c r="X44" i="9"/>
  <c r="L44" i="9"/>
  <c r="BD44" i="9" s="1"/>
  <c r="J44" i="9"/>
  <c r="AI44" i="9" s="1"/>
  <c r="H44" i="9"/>
  <c r="BU42" i="9"/>
  <c r="BH42" i="9"/>
  <c r="BB42" i="9"/>
  <c r="AV42" i="9"/>
  <c r="AN42" i="9"/>
  <c r="BG42" i="9" s="1"/>
  <c r="AA42" i="9" s="1"/>
  <c r="AM42" i="9"/>
  <c r="AJ42" i="9"/>
  <c r="AH42" i="9"/>
  <c r="AF42" i="9"/>
  <c r="AE42" i="9"/>
  <c r="AD42" i="9"/>
  <c r="AC42" i="9"/>
  <c r="AB42" i="9"/>
  <c r="X42" i="9"/>
  <c r="L42" i="9"/>
  <c r="BD42" i="9" s="1"/>
  <c r="J42" i="9"/>
  <c r="AI42" i="9" s="1"/>
  <c r="I42" i="9"/>
  <c r="BU40" i="9"/>
  <c r="BH40" i="9"/>
  <c r="BD40" i="9"/>
  <c r="BB40" i="9"/>
  <c r="AN40" i="9"/>
  <c r="BG40" i="9" s="1"/>
  <c r="AA40" i="9" s="1"/>
  <c r="AM40" i="9"/>
  <c r="BF40" i="9" s="1"/>
  <c r="Z40" i="9" s="1"/>
  <c r="AJ40" i="9"/>
  <c r="AH40" i="9"/>
  <c r="AF40" i="9"/>
  <c r="AE40" i="9"/>
  <c r="AD40" i="9"/>
  <c r="AC40" i="9"/>
  <c r="AB40" i="9"/>
  <c r="X40" i="9"/>
  <c r="L40" i="9"/>
  <c r="J40" i="9"/>
  <c r="AI40" i="9" s="1"/>
  <c r="I40" i="9"/>
  <c r="H40" i="9"/>
  <c r="BU38" i="9"/>
  <c r="BH38" i="9"/>
  <c r="BB38" i="9"/>
  <c r="AN38" i="9"/>
  <c r="BG38" i="9" s="1"/>
  <c r="AA38" i="9" s="1"/>
  <c r="AM38" i="9"/>
  <c r="BF38" i="9" s="1"/>
  <c r="Z38" i="9" s="1"/>
  <c r="AJ38" i="9"/>
  <c r="AH38" i="9"/>
  <c r="AF38" i="9"/>
  <c r="AE38" i="9"/>
  <c r="AD38" i="9"/>
  <c r="AC38" i="9"/>
  <c r="AB38" i="9"/>
  <c r="X38" i="9"/>
  <c r="L38" i="9"/>
  <c r="BD38" i="9" s="1"/>
  <c r="J38" i="9"/>
  <c r="AI38" i="9" s="1"/>
  <c r="H38" i="9"/>
  <c r="BU36" i="9"/>
  <c r="BH36" i="9"/>
  <c r="BB36" i="9"/>
  <c r="AN36" i="9"/>
  <c r="AM36" i="9"/>
  <c r="BF36" i="9" s="1"/>
  <c r="Z36" i="9" s="1"/>
  <c r="AJ36" i="9"/>
  <c r="AH36" i="9"/>
  <c r="AF36" i="9"/>
  <c r="AE36" i="9"/>
  <c r="AD36" i="9"/>
  <c r="AC36" i="9"/>
  <c r="AB36" i="9"/>
  <c r="X36" i="9"/>
  <c r="L36" i="9"/>
  <c r="BD36" i="9" s="1"/>
  <c r="J36" i="9"/>
  <c r="AI36" i="9" s="1"/>
  <c r="BU34" i="9"/>
  <c r="BH34" i="9"/>
  <c r="BB34" i="9"/>
  <c r="AN34" i="9"/>
  <c r="BG34" i="9" s="1"/>
  <c r="AA34" i="9" s="1"/>
  <c r="AM34" i="9"/>
  <c r="BF34" i="9" s="1"/>
  <c r="Z34" i="9" s="1"/>
  <c r="AJ34" i="9"/>
  <c r="AH34" i="9"/>
  <c r="AF34" i="9"/>
  <c r="AE34" i="9"/>
  <c r="AD34" i="9"/>
  <c r="AC34" i="9"/>
  <c r="AB34" i="9"/>
  <c r="X34" i="9"/>
  <c r="L34" i="9"/>
  <c r="J34" i="9"/>
  <c r="AI34" i="9" s="1"/>
  <c r="I34" i="9"/>
  <c r="BU32" i="9"/>
  <c r="BH32" i="9"/>
  <c r="BD32" i="9"/>
  <c r="BB32" i="9"/>
  <c r="AN32" i="9"/>
  <c r="BG32" i="9" s="1"/>
  <c r="AA32" i="9" s="1"/>
  <c r="AM32" i="9"/>
  <c r="BF32" i="9" s="1"/>
  <c r="Z32" i="9" s="1"/>
  <c r="AJ32" i="9"/>
  <c r="AS31" i="9" s="1"/>
  <c r="AH32" i="9"/>
  <c r="AF32" i="9"/>
  <c r="AE32" i="9"/>
  <c r="AD32" i="9"/>
  <c r="AC32" i="9"/>
  <c r="AB32" i="9"/>
  <c r="X32" i="9"/>
  <c r="L32" i="9"/>
  <c r="J32" i="9"/>
  <c r="I32" i="9"/>
  <c r="H32" i="9"/>
  <c r="BU29" i="9"/>
  <c r="BH29" i="9"/>
  <c r="BB29" i="9"/>
  <c r="AN29" i="9"/>
  <c r="BG29" i="9" s="1"/>
  <c r="AA29" i="9" s="1"/>
  <c r="AM29" i="9"/>
  <c r="BF29" i="9" s="1"/>
  <c r="Z29" i="9" s="1"/>
  <c r="AJ29" i="9"/>
  <c r="AS28" i="9" s="1"/>
  <c r="AH29" i="9"/>
  <c r="AQ28" i="9" s="1"/>
  <c r="AF29" i="9"/>
  <c r="AE29" i="9"/>
  <c r="AD29" i="9"/>
  <c r="AC29" i="9"/>
  <c r="AB29" i="9"/>
  <c r="X29" i="9"/>
  <c r="L29" i="9"/>
  <c r="BD29" i="9" s="1"/>
  <c r="J29" i="9"/>
  <c r="AI29" i="9" s="1"/>
  <c r="AR28" i="9" s="1"/>
  <c r="H29" i="9"/>
  <c r="H28" i="9" s="1"/>
  <c r="L28" i="9"/>
  <c r="J28" i="9"/>
  <c r="BU26" i="9"/>
  <c r="BH26" i="9"/>
  <c r="BD26" i="9"/>
  <c r="BB26" i="9"/>
  <c r="AU26" i="9"/>
  <c r="AN26" i="9"/>
  <c r="BG26" i="9" s="1"/>
  <c r="AA26" i="9" s="1"/>
  <c r="AM26" i="9"/>
  <c r="BF26" i="9" s="1"/>
  <c r="Z26" i="9" s="1"/>
  <c r="AJ26" i="9"/>
  <c r="AH26" i="9"/>
  <c r="AF26" i="9"/>
  <c r="AE26" i="9"/>
  <c r="AD26" i="9"/>
  <c r="AC26" i="9"/>
  <c r="AB26" i="9"/>
  <c r="X26" i="9"/>
  <c r="L26" i="9"/>
  <c r="J26" i="9"/>
  <c r="AI26" i="9" s="1"/>
  <c r="I26" i="9"/>
  <c r="H26" i="9"/>
  <c r="BU24" i="9"/>
  <c r="BH24" i="9"/>
  <c r="BB24" i="9"/>
  <c r="AN24" i="9"/>
  <c r="BG24" i="9" s="1"/>
  <c r="AA24" i="9" s="1"/>
  <c r="AM24" i="9"/>
  <c r="BF24" i="9" s="1"/>
  <c r="Z24" i="9" s="1"/>
  <c r="AJ24" i="9"/>
  <c r="AH24" i="9"/>
  <c r="AF24" i="9"/>
  <c r="AE24" i="9"/>
  <c r="AD24" i="9"/>
  <c r="AC24" i="9"/>
  <c r="AB24" i="9"/>
  <c r="X24" i="9"/>
  <c r="L24" i="9"/>
  <c r="BD24" i="9" s="1"/>
  <c r="J24" i="9"/>
  <c r="AI24" i="9" s="1"/>
  <c r="I24" i="9"/>
  <c r="H24" i="9"/>
  <c r="BU22" i="9"/>
  <c r="BH22" i="9"/>
  <c r="BB22" i="9"/>
  <c r="AN22" i="9"/>
  <c r="AM22" i="9"/>
  <c r="BF22" i="9" s="1"/>
  <c r="Z22" i="9" s="1"/>
  <c r="AJ22" i="9"/>
  <c r="AH22" i="9"/>
  <c r="AF22" i="9"/>
  <c r="AE22" i="9"/>
  <c r="AD22" i="9"/>
  <c r="AC22" i="9"/>
  <c r="AB22" i="9"/>
  <c r="X22" i="9"/>
  <c r="L22" i="9"/>
  <c r="BD22" i="9" s="1"/>
  <c r="J22" i="9"/>
  <c r="AI22" i="9" s="1"/>
  <c r="H22" i="9"/>
  <c r="BU20" i="9"/>
  <c r="BH20" i="9"/>
  <c r="BB20" i="9"/>
  <c r="AV20" i="9"/>
  <c r="AN20" i="9"/>
  <c r="BG20" i="9" s="1"/>
  <c r="AA20" i="9" s="1"/>
  <c r="AM20" i="9"/>
  <c r="AJ20" i="9"/>
  <c r="AH20" i="9"/>
  <c r="AF20" i="9"/>
  <c r="AE20" i="9"/>
  <c r="AD20" i="9"/>
  <c r="AC20" i="9"/>
  <c r="AB20" i="9"/>
  <c r="X20" i="9"/>
  <c r="L20" i="9"/>
  <c r="J20" i="9"/>
  <c r="AI20" i="9" s="1"/>
  <c r="I20" i="9"/>
  <c r="BU18" i="9"/>
  <c r="BH18" i="9"/>
  <c r="BD18" i="9"/>
  <c r="BB18" i="9"/>
  <c r="AU18" i="9"/>
  <c r="AN18" i="9"/>
  <c r="BG18" i="9" s="1"/>
  <c r="AA18" i="9" s="1"/>
  <c r="AM18" i="9"/>
  <c r="BF18" i="9" s="1"/>
  <c r="Z18" i="9" s="1"/>
  <c r="AJ18" i="9"/>
  <c r="AH18" i="9"/>
  <c r="AQ15" i="9" s="1"/>
  <c r="AF18" i="9"/>
  <c r="AE18" i="9"/>
  <c r="AD18" i="9"/>
  <c r="AC18" i="9"/>
  <c r="AB18" i="9"/>
  <c r="X18" i="9"/>
  <c r="L18" i="9"/>
  <c r="J18" i="9"/>
  <c r="AI18" i="9" s="1"/>
  <c r="I18" i="9"/>
  <c r="H18" i="9"/>
  <c r="BU16" i="9"/>
  <c r="BH16" i="9"/>
  <c r="BB16" i="9"/>
  <c r="AN16" i="9"/>
  <c r="BG16" i="9" s="1"/>
  <c r="AA16" i="9" s="1"/>
  <c r="AM16" i="9"/>
  <c r="BF16" i="9" s="1"/>
  <c r="AJ16" i="9"/>
  <c r="AH16" i="9"/>
  <c r="AF16" i="9"/>
  <c r="AE16" i="9"/>
  <c r="AD16" i="9"/>
  <c r="AC16" i="9"/>
  <c r="AB16" i="9"/>
  <c r="Z16" i="9"/>
  <c r="X16" i="9"/>
  <c r="L16" i="9"/>
  <c r="BD16" i="9" s="1"/>
  <c r="J16" i="9"/>
  <c r="AI16" i="9" s="1"/>
  <c r="AR15" i="9" s="1"/>
  <c r="I16" i="9"/>
  <c r="BU13" i="9"/>
  <c r="BH13" i="9"/>
  <c r="BB13" i="9"/>
  <c r="AN13" i="9"/>
  <c r="BG13" i="9" s="1"/>
  <c r="AA13" i="9" s="1"/>
  <c r="AM13" i="9"/>
  <c r="AJ13" i="9"/>
  <c r="AH13" i="9"/>
  <c r="AQ12" i="9" s="1"/>
  <c r="AF13" i="9"/>
  <c r="AE13" i="9"/>
  <c r="AD13" i="9"/>
  <c r="AC13" i="9"/>
  <c r="AB13" i="9"/>
  <c r="X13" i="9"/>
  <c r="L13" i="9"/>
  <c r="J13" i="9"/>
  <c r="AI13" i="9" s="1"/>
  <c r="AR12" i="9" s="1"/>
  <c r="I13" i="9"/>
  <c r="AS12" i="9"/>
  <c r="J12" i="9"/>
  <c r="I12" i="9"/>
  <c r="AS1" i="9"/>
  <c r="AR1" i="9"/>
  <c r="AQ1" i="9"/>
  <c r="BU178" i="8"/>
  <c r="BH178" i="8"/>
  <c r="AF178" i="8" s="1"/>
  <c r="BB178" i="8"/>
  <c r="AN178" i="8"/>
  <c r="BG178" i="8" s="1"/>
  <c r="AM178" i="8"/>
  <c r="H178" i="8" s="1"/>
  <c r="AJ178" i="8"/>
  <c r="AH178" i="8"/>
  <c r="AE178" i="8"/>
  <c r="AD178" i="8"/>
  <c r="AC178" i="8"/>
  <c r="AB178" i="8"/>
  <c r="AA178" i="8"/>
  <c r="Z178" i="8"/>
  <c r="X178" i="8"/>
  <c r="L178" i="8"/>
  <c r="BD178" i="8" s="1"/>
  <c r="J178" i="8"/>
  <c r="I178" i="8"/>
  <c r="BU176" i="8"/>
  <c r="BH176" i="8"/>
  <c r="AF176" i="8" s="1"/>
  <c r="BB176" i="8"/>
  <c r="AN176" i="8"/>
  <c r="BG176" i="8" s="1"/>
  <c r="AM176" i="8"/>
  <c r="BF176" i="8" s="1"/>
  <c r="AJ176" i="8"/>
  <c r="AH176" i="8"/>
  <c r="AE176" i="8"/>
  <c r="AD176" i="8"/>
  <c r="AC176" i="8"/>
  <c r="AB176" i="8"/>
  <c r="AA176" i="8"/>
  <c r="Z176" i="8"/>
  <c r="X176" i="8"/>
  <c r="L176" i="8"/>
  <c r="BD176" i="8" s="1"/>
  <c r="J176" i="8"/>
  <c r="H176" i="8"/>
  <c r="BU175" i="8"/>
  <c r="BH175" i="8"/>
  <c r="AF175" i="8" s="1"/>
  <c r="BB175" i="8"/>
  <c r="AN175" i="8"/>
  <c r="BG175" i="8" s="1"/>
  <c r="AM175" i="8"/>
  <c r="AU175" i="8" s="1"/>
  <c r="AJ175" i="8"/>
  <c r="AH175" i="8"/>
  <c r="AE175" i="8"/>
  <c r="AD175" i="8"/>
  <c r="AC175" i="8"/>
  <c r="AB175" i="8"/>
  <c r="AA175" i="8"/>
  <c r="Z175" i="8"/>
  <c r="X175" i="8"/>
  <c r="L175" i="8"/>
  <c r="BD175" i="8" s="1"/>
  <c r="J175" i="8"/>
  <c r="AI175" i="8" s="1"/>
  <c r="I175" i="8"/>
  <c r="BU174" i="8"/>
  <c r="BH174" i="8"/>
  <c r="AF174" i="8" s="1"/>
  <c r="BB174" i="8"/>
  <c r="AN174" i="8"/>
  <c r="AM174" i="8"/>
  <c r="BF174" i="8" s="1"/>
  <c r="AJ174" i="8"/>
  <c r="AH174" i="8"/>
  <c r="AE174" i="8"/>
  <c r="AD174" i="8"/>
  <c r="AC174" i="8"/>
  <c r="AB174" i="8"/>
  <c r="AA174" i="8"/>
  <c r="Z174" i="8"/>
  <c r="X174" i="8"/>
  <c r="L174" i="8"/>
  <c r="BD174" i="8" s="1"/>
  <c r="J174" i="8"/>
  <c r="H174" i="8"/>
  <c r="BU173" i="8"/>
  <c r="BH173" i="8"/>
  <c r="AF173" i="8" s="1"/>
  <c r="BB173" i="8"/>
  <c r="AN173" i="8"/>
  <c r="BG173" i="8" s="1"/>
  <c r="AM173" i="8"/>
  <c r="BF173" i="8" s="1"/>
  <c r="AJ173" i="8"/>
  <c r="AH173" i="8"/>
  <c r="AE173" i="8"/>
  <c r="AD173" i="8"/>
  <c r="AC173" i="8"/>
  <c r="AB173" i="8"/>
  <c r="AA173" i="8"/>
  <c r="Z173" i="8"/>
  <c r="X173" i="8"/>
  <c r="L173" i="8"/>
  <c r="BD173" i="8" s="1"/>
  <c r="J173" i="8"/>
  <c r="AI173" i="8" s="1"/>
  <c r="I173" i="8"/>
  <c r="BU172" i="8"/>
  <c r="BH172" i="8"/>
  <c r="AF172" i="8" s="1"/>
  <c r="BB172" i="8"/>
  <c r="AN172" i="8"/>
  <c r="AM172" i="8"/>
  <c r="BF172" i="8" s="1"/>
  <c r="AJ172" i="8"/>
  <c r="AI172" i="8"/>
  <c r="AH172" i="8"/>
  <c r="AE172" i="8"/>
  <c r="AD172" i="8"/>
  <c r="AC172" i="8"/>
  <c r="AB172" i="8"/>
  <c r="AA172" i="8"/>
  <c r="Z172" i="8"/>
  <c r="X172" i="8"/>
  <c r="L172" i="8"/>
  <c r="BD172" i="8" s="1"/>
  <c r="J172" i="8"/>
  <c r="H172" i="8"/>
  <c r="BU170" i="8"/>
  <c r="BH170" i="8"/>
  <c r="AF170" i="8" s="1"/>
  <c r="BB170" i="8"/>
  <c r="AN170" i="8"/>
  <c r="BG170" i="8" s="1"/>
  <c r="AM170" i="8"/>
  <c r="AJ170" i="8"/>
  <c r="AH170" i="8"/>
  <c r="AE170" i="8"/>
  <c r="AD170" i="8"/>
  <c r="AC170" i="8"/>
  <c r="AB170" i="8"/>
  <c r="AA170" i="8"/>
  <c r="Z170" i="8"/>
  <c r="X170" i="8"/>
  <c r="L170" i="8"/>
  <c r="BD170" i="8" s="1"/>
  <c r="J170" i="8"/>
  <c r="BU168" i="8"/>
  <c r="BH168" i="8"/>
  <c r="AF168" i="8" s="1"/>
  <c r="BD168" i="8"/>
  <c r="BB168" i="8"/>
  <c r="AU168" i="8"/>
  <c r="AN168" i="8"/>
  <c r="BG168" i="8" s="1"/>
  <c r="AM168" i="8"/>
  <c r="BF168" i="8" s="1"/>
  <c r="AJ168" i="8"/>
  <c r="AH168" i="8"/>
  <c r="AE168" i="8"/>
  <c r="AD168" i="8"/>
  <c r="AC168" i="8"/>
  <c r="AB168" i="8"/>
  <c r="AA168" i="8"/>
  <c r="Z168" i="8"/>
  <c r="X168" i="8"/>
  <c r="L168" i="8"/>
  <c r="J168" i="8"/>
  <c r="H168" i="8"/>
  <c r="BU166" i="8"/>
  <c r="BH166" i="8"/>
  <c r="AF166" i="8" s="1"/>
  <c r="BB166" i="8"/>
  <c r="AN166" i="8"/>
  <c r="AV166" i="8" s="1"/>
  <c r="AM166" i="8"/>
  <c r="AJ166" i="8"/>
  <c r="AH166" i="8"/>
  <c r="AE166" i="8"/>
  <c r="AD166" i="8"/>
  <c r="AC166" i="8"/>
  <c r="AB166" i="8"/>
  <c r="AA166" i="8"/>
  <c r="Z166" i="8"/>
  <c r="X166" i="8"/>
  <c r="L166" i="8"/>
  <c r="BD166" i="8" s="1"/>
  <c r="J166" i="8"/>
  <c r="AI166" i="8" s="1"/>
  <c r="BU164" i="8"/>
  <c r="BH164" i="8"/>
  <c r="AF164" i="8" s="1"/>
  <c r="BB164" i="8"/>
  <c r="AV164" i="8"/>
  <c r="AU164" i="8"/>
  <c r="AN164" i="8"/>
  <c r="BG164" i="8" s="1"/>
  <c r="AM164" i="8"/>
  <c r="AJ164" i="8"/>
  <c r="AH164" i="8"/>
  <c r="AE164" i="8"/>
  <c r="AD164" i="8"/>
  <c r="AC164" i="8"/>
  <c r="AB164" i="8"/>
  <c r="AA164" i="8"/>
  <c r="Z164" i="8"/>
  <c r="X164" i="8"/>
  <c r="L164" i="8"/>
  <c r="BD164" i="8" s="1"/>
  <c r="J164" i="8"/>
  <c r="AI164" i="8" s="1"/>
  <c r="BU162" i="8"/>
  <c r="BH162" i="8"/>
  <c r="AF162" i="8" s="1"/>
  <c r="BB162" i="8"/>
  <c r="AN162" i="8"/>
  <c r="BG162" i="8" s="1"/>
  <c r="AM162" i="8"/>
  <c r="BF162" i="8" s="1"/>
  <c r="AJ162" i="8"/>
  <c r="AH162" i="8"/>
  <c r="AE162" i="8"/>
  <c r="AD162" i="8"/>
  <c r="AC162" i="8"/>
  <c r="AB162" i="8"/>
  <c r="AA162" i="8"/>
  <c r="Z162" i="8"/>
  <c r="X162" i="8"/>
  <c r="L162" i="8"/>
  <c r="BD162" i="8" s="1"/>
  <c r="J162" i="8"/>
  <c r="I162" i="8"/>
  <c r="BU160" i="8"/>
  <c r="BH160" i="8"/>
  <c r="AF160" i="8" s="1"/>
  <c r="BB160" i="8"/>
  <c r="AN160" i="8"/>
  <c r="BG160" i="8" s="1"/>
  <c r="AM160" i="8"/>
  <c r="AJ160" i="8"/>
  <c r="AH160" i="8"/>
  <c r="AE160" i="8"/>
  <c r="AD160" i="8"/>
  <c r="AC160" i="8"/>
  <c r="AB160" i="8"/>
  <c r="AA160" i="8"/>
  <c r="Z160" i="8"/>
  <c r="X160" i="8"/>
  <c r="L160" i="8"/>
  <c r="BD160" i="8" s="1"/>
  <c r="J160" i="8"/>
  <c r="BU158" i="8"/>
  <c r="BH158" i="8"/>
  <c r="AF158" i="8" s="1"/>
  <c r="BD158" i="8"/>
  <c r="BB158" i="8"/>
  <c r="AN158" i="8"/>
  <c r="BG158" i="8" s="1"/>
  <c r="AM158" i="8"/>
  <c r="BF158" i="8" s="1"/>
  <c r="AJ158" i="8"/>
  <c r="AH158" i="8"/>
  <c r="AE158" i="8"/>
  <c r="AD158" i="8"/>
  <c r="AC158" i="8"/>
  <c r="AB158" i="8"/>
  <c r="AA158" i="8"/>
  <c r="Z158" i="8"/>
  <c r="X158" i="8"/>
  <c r="L158" i="8"/>
  <c r="J158" i="8"/>
  <c r="AI158" i="8" s="1"/>
  <c r="BU156" i="8"/>
  <c r="BH156" i="8"/>
  <c r="AF156" i="8" s="1"/>
  <c r="BB156" i="8"/>
  <c r="AN156" i="8"/>
  <c r="AM156" i="8"/>
  <c r="BF156" i="8" s="1"/>
  <c r="AJ156" i="8"/>
  <c r="AS155" i="8" s="1"/>
  <c r="AH156" i="8"/>
  <c r="AE156" i="8"/>
  <c r="AD156" i="8"/>
  <c r="AC156" i="8"/>
  <c r="AB156" i="8"/>
  <c r="AA156" i="8"/>
  <c r="Z156" i="8"/>
  <c r="X156" i="8"/>
  <c r="L156" i="8"/>
  <c r="BD156" i="8" s="1"/>
  <c r="J156" i="8"/>
  <c r="AI156" i="8" s="1"/>
  <c r="H156" i="8"/>
  <c r="BU154" i="8"/>
  <c r="BH154" i="8"/>
  <c r="X154" i="8" s="1"/>
  <c r="BB154" i="8"/>
  <c r="AN154" i="8"/>
  <c r="AM154" i="8"/>
  <c r="BF154" i="8" s="1"/>
  <c r="AJ154" i="8"/>
  <c r="AH154" i="8"/>
  <c r="AF154" i="8"/>
  <c r="AE154" i="8"/>
  <c r="AD154" i="8"/>
  <c r="AC154" i="8"/>
  <c r="AB154" i="8"/>
  <c r="AA154" i="8"/>
  <c r="Z154" i="8"/>
  <c r="L154" i="8"/>
  <c r="BD154" i="8" s="1"/>
  <c r="J154" i="8"/>
  <c r="H154" i="8"/>
  <c r="BU153" i="8"/>
  <c r="BH153" i="8"/>
  <c r="X153" i="8" s="1"/>
  <c r="BB153" i="8"/>
  <c r="AN153" i="8"/>
  <c r="AM153" i="8"/>
  <c r="BF153" i="8" s="1"/>
  <c r="AJ153" i="8"/>
  <c r="AH153" i="8"/>
  <c r="AF153" i="8"/>
  <c r="AE153" i="8"/>
  <c r="AD153" i="8"/>
  <c r="AC153" i="8"/>
  <c r="AB153" i="8"/>
  <c r="AA153" i="8"/>
  <c r="Z153" i="8"/>
  <c r="L153" i="8"/>
  <c r="BD153" i="8" s="1"/>
  <c r="J153" i="8"/>
  <c r="AI153" i="8" s="1"/>
  <c r="BU152" i="8"/>
  <c r="BH152" i="8"/>
  <c r="X152" i="8" s="1"/>
  <c r="BB152" i="8"/>
  <c r="AN152" i="8"/>
  <c r="BG152" i="8" s="1"/>
  <c r="AM152" i="8"/>
  <c r="BF152" i="8" s="1"/>
  <c r="AJ152" i="8"/>
  <c r="AS151" i="8" s="1"/>
  <c r="AH152" i="8"/>
  <c r="AF152" i="8"/>
  <c r="AE152" i="8"/>
  <c r="AD152" i="8"/>
  <c r="AC152" i="8"/>
  <c r="AB152" i="8"/>
  <c r="AA152" i="8"/>
  <c r="Z152" i="8"/>
  <c r="L152" i="8"/>
  <c r="J152" i="8"/>
  <c r="I152" i="8"/>
  <c r="H152" i="8"/>
  <c r="BU150" i="8"/>
  <c r="BH150" i="8"/>
  <c r="X150" i="8" s="1"/>
  <c r="BD150" i="8"/>
  <c r="BB150" i="8"/>
  <c r="AN150" i="8"/>
  <c r="BG150" i="8" s="1"/>
  <c r="AM150" i="8"/>
  <c r="AJ150" i="8"/>
  <c r="AH150" i="8"/>
  <c r="AF150" i="8"/>
  <c r="AE150" i="8"/>
  <c r="AD150" i="8"/>
  <c r="AC150" i="8"/>
  <c r="AB150" i="8"/>
  <c r="AA150" i="8"/>
  <c r="Z150" i="8"/>
  <c r="L150" i="8"/>
  <c r="J150" i="8"/>
  <c r="I150" i="8"/>
  <c r="BU148" i="8"/>
  <c r="BH148" i="8"/>
  <c r="X148" i="8" s="1"/>
  <c r="BB148" i="8"/>
  <c r="AN148" i="8"/>
  <c r="BG148" i="8" s="1"/>
  <c r="AM148" i="8"/>
  <c r="BF148" i="8" s="1"/>
  <c r="AJ148" i="8"/>
  <c r="AI148" i="8"/>
  <c r="AH148" i="8"/>
  <c r="AF148" i="8"/>
  <c r="AE148" i="8"/>
  <c r="AD148" i="8"/>
  <c r="AC148" i="8"/>
  <c r="AB148" i="8"/>
  <c r="AA148" i="8"/>
  <c r="Z148" i="8"/>
  <c r="L148" i="8"/>
  <c r="BD148" i="8" s="1"/>
  <c r="J148" i="8"/>
  <c r="H148" i="8"/>
  <c r="BU146" i="8"/>
  <c r="BH146" i="8"/>
  <c r="X146" i="8" s="1"/>
  <c r="BB146" i="8"/>
  <c r="AN146" i="8"/>
  <c r="BG146" i="8" s="1"/>
  <c r="AM146" i="8"/>
  <c r="BF146" i="8" s="1"/>
  <c r="AJ146" i="8"/>
  <c r="AI146" i="8"/>
  <c r="AH146" i="8"/>
  <c r="AF146" i="8"/>
  <c r="AE146" i="8"/>
  <c r="AD146" i="8"/>
  <c r="AC146" i="8"/>
  <c r="AB146" i="8"/>
  <c r="AA146" i="8"/>
  <c r="Z146" i="8"/>
  <c r="L146" i="8"/>
  <c r="BD146" i="8" s="1"/>
  <c r="J146" i="8"/>
  <c r="H146" i="8"/>
  <c r="BU145" i="8"/>
  <c r="BH145" i="8"/>
  <c r="X145" i="8" s="1"/>
  <c r="BB145" i="8"/>
  <c r="AN145" i="8"/>
  <c r="BG145" i="8" s="1"/>
  <c r="AM145" i="8"/>
  <c r="BF145" i="8" s="1"/>
  <c r="AJ145" i="8"/>
  <c r="AH145" i="8"/>
  <c r="AF145" i="8"/>
  <c r="AE145" i="8"/>
  <c r="AD145" i="8"/>
  <c r="AC145" i="8"/>
  <c r="AB145" i="8"/>
  <c r="AA145" i="8"/>
  <c r="Z145" i="8"/>
  <c r="L145" i="8"/>
  <c r="J145" i="8"/>
  <c r="BU142" i="8"/>
  <c r="BH142" i="8"/>
  <c r="BB142" i="8"/>
  <c r="AN142" i="8"/>
  <c r="BG142" i="8" s="1"/>
  <c r="AA142" i="8" s="1"/>
  <c r="AM142" i="8"/>
  <c r="BF142" i="8" s="1"/>
  <c r="AJ142" i="8"/>
  <c r="AS141" i="8" s="1"/>
  <c r="AH142" i="8"/>
  <c r="AQ141" i="8" s="1"/>
  <c r="AF142" i="8"/>
  <c r="AE142" i="8"/>
  <c r="AD142" i="8"/>
  <c r="AC142" i="8"/>
  <c r="AB142" i="8"/>
  <c r="Z142" i="8"/>
  <c r="X142" i="8"/>
  <c r="L142" i="8"/>
  <c r="J142" i="8"/>
  <c r="I142" i="8"/>
  <c r="I141" i="8" s="1"/>
  <c r="BU139" i="8"/>
  <c r="BH139" i="8"/>
  <c r="BB139" i="8"/>
  <c r="AV139" i="8"/>
  <c r="AN139" i="8"/>
  <c r="BG139" i="8" s="1"/>
  <c r="AA139" i="8" s="1"/>
  <c r="AM139" i="8"/>
  <c r="AJ139" i="8"/>
  <c r="AS138" i="8" s="1"/>
  <c r="AH139" i="8"/>
  <c r="AQ138" i="8" s="1"/>
  <c r="AF139" i="8"/>
  <c r="AE139" i="8"/>
  <c r="AD139" i="8"/>
  <c r="AC139" i="8"/>
  <c r="AB139" i="8"/>
  <c r="X139" i="8"/>
  <c r="L139" i="8"/>
  <c r="BD139" i="8" s="1"/>
  <c r="J139" i="8"/>
  <c r="I139" i="8"/>
  <c r="I138" i="8"/>
  <c r="BU136" i="8"/>
  <c r="BH136" i="8"/>
  <c r="BB136" i="8"/>
  <c r="AN136" i="8"/>
  <c r="AM136" i="8"/>
  <c r="BF136" i="8" s="1"/>
  <c r="Z136" i="8" s="1"/>
  <c r="AJ136" i="8"/>
  <c r="AH136" i="8"/>
  <c r="AF136" i="8"/>
  <c r="AE136" i="8"/>
  <c r="AD136" i="8"/>
  <c r="AC136" i="8"/>
  <c r="AB136" i="8"/>
  <c r="X136" i="8"/>
  <c r="L136" i="8"/>
  <c r="BD136" i="8" s="1"/>
  <c r="J136" i="8"/>
  <c r="AI136" i="8" s="1"/>
  <c r="I136" i="8"/>
  <c r="BU134" i="8"/>
  <c r="BH134" i="8"/>
  <c r="BB134" i="8"/>
  <c r="AN134" i="8"/>
  <c r="BG134" i="8" s="1"/>
  <c r="AA134" i="8" s="1"/>
  <c r="AM134" i="8"/>
  <c r="AU134" i="8" s="1"/>
  <c r="AJ134" i="8"/>
  <c r="AH134" i="8"/>
  <c r="AF134" i="8"/>
  <c r="AE134" i="8"/>
  <c r="AD134" i="8"/>
  <c r="AC134" i="8"/>
  <c r="AB134" i="8"/>
  <c r="X134" i="8"/>
  <c r="L134" i="8"/>
  <c r="BD134" i="8" s="1"/>
  <c r="J134" i="8"/>
  <c r="I134" i="8"/>
  <c r="H134" i="8"/>
  <c r="BU132" i="8"/>
  <c r="BH132" i="8"/>
  <c r="BB132" i="8"/>
  <c r="AV132" i="8"/>
  <c r="AN132" i="8"/>
  <c r="BG132" i="8" s="1"/>
  <c r="AA132" i="8" s="1"/>
  <c r="AM132" i="8"/>
  <c r="AJ132" i="8"/>
  <c r="AH132" i="8"/>
  <c r="AF132" i="8"/>
  <c r="AE132" i="8"/>
  <c r="AD132" i="8"/>
  <c r="AC132" i="8"/>
  <c r="AB132" i="8"/>
  <c r="X132" i="8"/>
  <c r="L132" i="8"/>
  <c r="BD132" i="8" s="1"/>
  <c r="J132" i="8"/>
  <c r="AI132" i="8" s="1"/>
  <c r="I132" i="8"/>
  <c r="H132" i="8"/>
  <c r="BU130" i="8"/>
  <c r="BH130" i="8"/>
  <c r="BB130" i="8"/>
  <c r="AN130" i="8"/>
  <c r="BG130" i="8" s="1"/>
  <c r="AA130" i="8" s="1"/>
  <c r="AM130" i="8"/>
  <c r="AU130" i="8" s="1"/>
  <c r="AJ130" i="8"/>
  <c r="AH130" i="8"/>
  <c r="AF130" i="8"/>
  <c r="AE130" i="8"/>
  <c r="AD130" i="8"/>
  <c r="AC130" i="8"/>
  <c r="AB130" i="8"/>
  <c r="X130" i="8"/>
  <c r="L130" i="8"/>
  <c r="BD130" i="8" s="1"/>
  <c r="J130" i="8"/>
  <c r="I130" i="8"/>
  <c r="H130" i="8"/>
  <c r="BU128" i="8"/>
  <c r="BH128" i="8"/>
  <c r="BB128" i="8"/>
  <c r="AN128" i="8"/>
  <c r="BG128" i="8" s="1"/>
  <c r="AA128" i="8" s="1"/>
  <c r="AM128" i="8"/>
  <c r="AU128" i="8" s="1"/>
  <c r="AJ128" i="8"/>
  <c r="AH128" i="8"/>
  <c r="AF128" i="8"/>
  <c r="AE128" i="8"/>
  <c r="AD128" i="8"/>
  <c r="AC128" i="8"/>
  <c r="AB128" i="8"/>
  <c r="X128" i="8"/>
  <c r="L128" i="8"/>
  <c r="BD128" i="8" s="1"/>
  <c r="J128" i="8"/>
  <c r="AI128" i="8" s="1"/>
  <c r="I128" i="8"/>
  <c r="BU126" i="8"/>
  <c r="BH126" i="8"/>
  <c r="BB126" i="8"/>
  <c r="AN126" i="8"/>
  <c r="BG126" i="8" s="1"/>
  <c r="AA126" i="8" s="1"/>
  <c r="AM126" i="8"/>
  <c r="AU126" i="8" s="1"/>
  <c r="AJ126" i="8"/>
  <c r="AH126" i="8"/>
  <c r="AF126" i="8"/>
  <c r="AE126" i="8"/>
  <c r="AD126" i="8"/>
  <c r="AC126" i="8"/>
  <c r="AB126" i="8"/>
  <c r="X126" i="8"/>
  <c r="L126" i="8"/>
  <c r="BD126" i="8" s="1"/>
  <c r="J126" i="8"/>
  <c r="I126" i="8"/>
  <c r="H126" i="8"/>
  <c r="BU124" i="8"/>
  <c r="BH124" i="8"/>
  <c r="BB124" i="8"/>
  <c r="AN124" i="8"/>
  <c r="AM124" i="8"/>
  <c r="AU124" i="8" s="1"/>
  <c r="AJ124" i="8"/>
  <c r="AH124" i="8"/>
  <c r="AF124" i="8"/>
  <c r="AE124" i="8"/>
  <c r="AD124" i="8"/>
  <c r="AC124" i="8"/>
  <c r="AB124" i="8"/>
  <c r="X124" i="8"/>
  <c r="L124" i="8"/>
  <c r="BD124" i="8" s="1"/>
  <c r="J124" i="8"/>
  <c r="AI124" i="8" s="1"/>
  <c r="H124" i="8"/>
  <c r="BU122" i="8"/>
  <c r="BH122" i="8"/>
  <c r="BB122" i="8"/>
  <c r="AN122" i="8"/>
  <c r="AM122" i="8"/>
  <c r="AU122" i="8" s="1"/>
  <c r="AJ122" i="8"/>
  <c r="AH122" i="8"/>
  <c r="AF122" i="8"/>
  <c r="AE122" i="8"/>
  <c r="AD122" i="8"/>
  <c r="AC122" i="8"/>
  <c r="AB122" i="8"/>
  <c r="X122" i="8"/>
  <c r="L122" i="8"/>
  <c r="BD122" i="8" s="1"/>
  <c r="J122" i="8"/>
  <c r="I122" i="8"/>
  <c r="H122" i="8"/>
  <c r="BU120" i="8"/>
  <c r="BH120" i="8"/>
  <c r="BF120" i="8"/>
  <c r="Z120" i="8" s="1"/>
  <c r="BB120" i="8"/>
  <c r="AN120" i="8"/>
  <c r="AM120" i="8"/>
  <c r="AJ120" i="8"/>
  <c r="AH120" i="8"/>
  <c r="AF120" i="8"/>
  <c r="AE120" i="8"/>
  <c r="AD120" i="8"/>
  <c r="AC120" i="8"/>
  <c r="AB120" i="8"/>
  <c r="X120" i="8"/>
  <c r="L120" i="8"/>
  <c r="J120" i="8"/>
  <c r="AI120" i="8" s="1"/>
  <c r="I120" i="8"/>
  <c r="BU117" i="8"/>
  <c r="BH117" i="8"/>
  <c r="BB117" i="8"/>
  <c r="AN117" i="8"/>
  <c r="AM117" i="8"/>
  <c r="AU117" i="8" s="1"/>
  <c r="AJ117" i="8"/>
  <c r="AH117" i="8"/>
  <c r="AF117" i="8"/>
  <c r="AE117" i="8"/>
  <c r="AD117" i="8"/>
  <c r="AC117" i="8"/>
  <c r="AB117" i="8"/>
  <c r="X117" i="8"/>
  <c r="L117" i="8"/>
  <c r="BD117" i="8" s="1"/>
  <c r="J117" i="8"/>
  <c r="BU115" i="8"/>
  <c r="BH115" i="8"/>
  <c r="BB115" i="8"/>
  <c r="AN115" i="8"/>
  <c r="BG115" i="8" s="1"/>
  <c r="AA115" i="8" s="1"/>
  <c r="AM115" i="8"/>
  <c r="AJ115" i="8"/>
  <c r="AH115" i="8"/>
  <c r="AF115" i="8"/>
  <c r="AE115" i="8"/>
  <c r="AD115" i="8"/>
  <c r="AC115" i="8"/>
  <c r="AB115" i="8"/>
  <c r="X115" i="8"/>
  <c r="L115" i="8"/>
  <c r="BD115" i="8" s="1"/>
  <c r="J115" i="8"/>
  <c r="AI115" i="8" s="1"/>
  <c r="I115" i="8"/>
  <c r="H115" i="8"/>
  <c r="BU113" i="8"/>
  <c r="BH113" i="8"/>
  <c r="BB113" i="8"/>
  <c r="AV113" i="8"/>
  <c r="AN113" i="8"/>
  <c r="BG113" i="8" s="1"/>
  <c r="AM113" i="8"/>
  <c r="H113" i="8" s="1"/>
  <c r="AJ113" i="8"/>
  <c r="AH113" i="8"/>
  <c r="AF113" i="8"/>
  <c r="AE113" i="8"/>
  <c r="AD113" i="8"/>
  <c r="AC113" i="8"/>
  <c r="AB113" i="8"/>
  <c r="AA113" i="8"/>
  <c r="X113" i="8"/>
  <c r="L113" i="8"/>
  <c r="BD113" i="8" s="1"/>
  <c r="J113" i="8"/>
  <c r="AI113" i="8" s="1"/>
  <c r="I113" i="8"/>
  <c r="BU111" i="8"/>
  <c r="BH111" i="8"/>
  <c r="BB111" i="8"/>
  <c r="AN111" i="8"/>
  <c r="AM111" i="8"/>
  <c r="AJ111" i="8"/>
  <c r="AH111" i="8"/>
  <c r="AF111" i="8"/>
  <c r="AE111" i="8"/>
  <c r="AD111" i="8"/>
  <c r="AC111" i="8"/>
  <c r="AB111" i="8"/>
  <c r="X111" i="8"/>
  <c r="L111" i="8"/>
  <c r="BD111" i="8" s="1"/>
  <c r="J111" i="8"/>
  <c r="AI111" i="8" s="1"/>
  <c r="I111" i="8"/>
  <c r="H111" i="8"/>
  <c r="BU109" i="8"/>
  <c r="BH109" i="8"/>
  <c r="BB109" i="8"/>
  <c r="AV109" i="8"/>
  <c r="AN109" i="8"/>
  <c r="BG109" i="8" s="1"/>
  <c r="AA109" i="8" s="1"/>
  <c r="AM109" i="8"/>
  <c r="AU109" i="8" s="1"/>
  <c r="AJ109" i="8"/>
  <c r="AH109" i="8"/>
  <c r="AQ106" i="8" s="1"/>
  <c r="AF109" i="8"/>
  <c r="AE109" i="8"/>
  <c r="AD109" i="8"/>
  <c r="AC109" i="8"/>
  <c r="AB109" i="8"/>
  <c r="X109" i="8"/>
  <c r="L109" i="8"/>
  <c r="BD109" i="8" s="1"/>
  <c r="J109" i="8"/>
  <c r="AI109" i="8" s="1"/>
  <c r="I109" i="8"/>
  <c r="H109" i="8"/>
  <c r="BU107" i="8"/>
  <c r="BH107" i="8"/>
  <c r="BB107" i="8"/>
  <c r="AN107" i="8"/>
  <c r="AM107" i="8"/>
  <c r="AU107" i="8" s="1"/>
  <c r="AJ107" i="8"/>
  <c r="AH107" i="8"/>
  <c r="AF107" i="8"/>
  <c r="AE107" i="8"/>
  <c r="AD107" i="8"/>
  <c r="AC107" i="8"/>
  <c r="AB107" i="8"/>
  <c r="X107" i="8"/>
  <c r="L107" i="8"/>
  <c r="BD107" i="8" s="1"/>
  <c r="J107" i="8"/>
  <c r="AI107" i="8" s="1"/>
  <c r="I107" i="8"/>
  <c r="H107" i="8"/>
  <c r="BU104" i="8"/>
  <c r="BH104" i="8"/>
  <c r="BB104" i="8"/>
  <c r="AN104" i="8"/>
  <c r="BG104" i="8" s="1"/>
  <c r="AA104" i="8" s="1"/>
  <c r="AM104" i="8"/>
  <c r="AU104" i="8" s="1"/>
  <c r="AJ104" i="8"/>
  <c r="AH104" i="8"/>
  <c r="AF104" i="8"/>
  <c r="AE104" i="8"/>
  <c r="AD104" i="8"/>
  <c r="AC104" i="8"/>
  <c r="AB104" i="8"/>
  <c r="X104" i="8"/>
  <c r="L104" i="8"/>
  <c r="BD104" i="8" s="1"/>
  <c r="J104" i="8"/>
  <c r="AI104" i="8" s="1"/>
  <c r="I104" i="8"/>
  <c r="BU102" i="8"/>
  <c r="BH102" i="8"/>
  <c r="BB102" i="8"/>
  <c r="AV102" i="8"/>
  <c r="AN102" i="8"/>
  <c r="BG102" i="8" s="1"/>
  <c r="AA102" i="8" s="1"/>
  <c r="AM102" i="8"/>
  <c r="AU102" i="8" s="1"/>
  <c r="AJ102" i="8"/>
  <c r="AH102" i="8"/>
  <c r="AF102" i="8"/>
  <c r="AE102" i="8"/>
  <c r="AD102" i="8"/>
  <c r="AC102" i="8"/>
  <c r="AB102" i="8"/>
  <c r="X102" i="8"/>
  <c r="L102" i="8"/>
  <c r="BD102" i="8" s="1"/>
  <c r="J102" i="8"/>
  <c r="AI102" i="8" s="1"/>
  <c r="I102" i="8"/>
  <c r="BU100" i="8"/>
  <c r="BH100" i="8"/>
  <c r="BB100" i="8"/>
  <c r="AV100" i="8"/>
  <c r="AN100" i="8"/>
  <c r="BG100" i="8" s="1"/>
  <c r="AA100" i="8" s="1"/>
  <c r="AM100" i="8"/>
  <c r="AU100" i="8" s="1"/>
  <c r="AJ100" i="8"/>
  <c r="AH100" i="8"/>
  <c r="AF100" i="8"/>
  <c r="AE100" i="8"/>
  <c r="AD100" i="8"/>
  <c r="AC100" i="8"/>
  <c r="AB100" i="8"/>
  <c r="X100" i="8"/>
  <c r="L100" i="8"/>
  <c r="BD100" i="8" s="1"/>
  <c r="J100" i="8"/>
  <c r="AI100" i="8" s="1"/>
  <c r="I100" i="8"/>
  <c r="BU98" i="8"/>
  <c r="BH98" i="8"/>
  <c r="BB98" i="8"/>
  <c r="AN98" i="8"/>
  <c r="AM98" i="8"/>
  <c r="AU98" i="8" s="1"/>
  <c r="AJ98" i="8"/>
  <c r="AH98" i="8"/>
  <c r="AF98" i="8"/>
  <c r="AE98" i="8"/>
  <c r="AD98" i="8"/>
  <c r="AC98" i="8"/>
  <c r="AB98" i="8"/>
  <c r="X98" i="8"/>
  <c r="L98" i="8"/>
  <c r="BD98" i="8" s="1"/>
  <c r="J98" i="8"/>
  <c r="AI98" i="8" s="1"/>
  <c r="I98" i="8"/>
  <c r="BU96" i="8"/>
  <c r="BH96" i="8"/>
  <c r="BB96" i="8"/>
  <c r="AN96" i="8"/>
  <c r="BG96" i="8" s="1"/>
  <c r="AA96" i="8" s="1"/>
  <c r="AM96" i="8"/>
  <c r="AU96" i="8" s="1"/>
  <c r="AJ96" i="8"/>
  <c r="AH96" i="8"/>
  <c r="AF96" i="8"/>
  <c r="AE96" i="8"/>
  <c r="AD96" i="8"/>
  <c r="AC96" i="8"/>
  <c r="AB96" i="8"/>
  <c r="X96" i="8"/>
  <c r="L96" i="8"/>
  <c r="BD96" i="8" s="1"/>
  <c r="J96" i="8"/>
  <c r="AI96" i="8" s="1"/>
  <c r="I96" i="8"/>
  <c r="BU94" i="8"/>
  <c r="BH94" i="8"/>
  <c r="BB94" i="8"/>
  <c r="AN94" i="8"/>
  <c r="BG94" i="8" s="1"/>
  <c r="AA94" i="8" s="1"/>
  <c r="AM94" i="8"/>
  <c r="AU94" i="8" s="1"/>
  <c r="AJ94" i="8"/>
  <c r="AH94" i="8"/>
  <c r="AF94" i="8"/>
  <c r="AE94" i="8"/>
  <c r="AD94" i="8"/>
  <c r="AC94" i="8"/>
  <c r="AB94" i="8"/>
  <c r="X94" i="8"/>
  <c r="L94" i="8"/>
  <c r="BD94" i="8" s="1"/>
  <c r="J94" i="8"/>
  <c r="AI94" i="8" s="1"/>
  <c r="I94" i="8"/>
  <c r="BU92" i="8"/>
  <c r="BH92" i="8"/>
  <c r="BF92" i="8"/>
  <c r="Z92" i="8" s="1"/>
  <c r="BB92" i="8"/>
  <c r="AN92" i="8"/>
  <c r="AM92" i="8"/>
  <c r="AU92" i="8" s="1"/>
  <c r="AJ92" i="8"/>
  <c r="AH92" i="8"/>
  <c r="AF92" i="8"/>
  <c r="AE92" i="8"/>
  <c r="AD92" i="8"/>
  <c r="AC92" i="8"/>
  <c r="AB92" i="8"/>
  <c r="X92" i="8"/>
  <c r="L92" i="8"/>
  <c r="BD92" i="8" s="1"/>
  <c r="J92" i="8"/>
  <c r="AI92" i="8" s="1"/>
  <c r="I92" i="8"/>
  <c r="BU90" i="8"/>
  <c r="BH90" i="8"/>
  <c r="BB90" i="8"/>
  <c r="AN90" i="8"/>
  <c r="BG90" i="8" s="1"/>
  <c r="AA90" i="8" s="1"/>
  <c r="AM90" i="8"/>
  <c r="AU90" i="8" s="1"/>
  <c r="AJ90" i="8"/>
  <c r="AH90" i="8"/>
  <c r="AF90" i="8"/>
  <c r="AE90" i="8"/>
  <c r="AD90" i="8"/>
  <c r="AC90" i="8"/>
  <c r="AB90" i="8"/>
  <c r="X90" i="8"/>
  <c r="L90" i="8"/>
  <c r="BD90" i="8" s="1"/>
  <c r="J90" i="8"/>
  <c r="AI90" i="8" s="1"/>
  <c r="I90" i="8"/>
  <c r="L89" i="8"/>
  <c r="BU87" i="8"/>
  <c r="BH87" i="8"/>
  <c r="BB87" i="8"/>
  <c r="AN87" i="8"/>
  <c r="BG87" i="8" s="1"/>
  <c r="AA87" i="8" s="1"/>
  <c r="AM87" i="8"/>
  <c r="AU87" i="8" s="1"/>
  <c r="AJ87" i="8"/>
  <c r="AH87" i="8"/>
  <c r="AF87" i="8"/>
  <c r="AE87" i="8"/>
  <c r="AD87" i="8"/>
  <c r="AC87" i="8"/>
  <c r="AB87" i="8"/>
  <c r="X87" i="8"/>
  <c r="L87" i="8"/>
  <c r="BD87" i="8" s="1"/>
  <c r="J87" i="8"/>
  <c r="AI87" i="8" s="1"/>
  <c r="AR86" i="8" s="1"/>
  <c r="I87" i="8"/>
  <c r="H87" i="8"/>
  <c r="H86" i="8" s="1"/>
  <c r="AS86" i="8"/>
  <c r="AQ86" i="8"/>
  <c r="I86" i="8"/>
  <c r="BU84" i="8"/>
  <c r="BH84" i="8"/>
  <c r="BB84" i="8"/>
  <c r="AN84" i="8"/>
  <c r="BG84" i="8" s="1"/>
  <c r="AA84" i="8" s="1"/>
  <c r="AM84" i="8"/>
  <c r="AU84" i="8" s="1"/>
  <c r="AJ84" i="8"/>
  <c r="AH84" i="8"/>
  <c r="AF84" i="8"/>
  <c r="AE84" i="8"/>
  <c r="AD84" i="8"/>
  <c r="AC84" i="8"/>
  <c r="AB84" i="8"/>
  <c r="X84" i="8"/>
  <c r="L84" i="8"/>
  <c r="BD84" i="8" s="1"/>
  <c r="J84" i="8"/>
  <c r="AI84" i="8" s="1"/>
  <c r="AR83" i="8" s="1"/>
  <c r="I84" i="8"/>
  <c r="I83" i="8" s="1"/>
  <c r="H84" i="8"/>
  <c r="H83" i="8" s="1"/>
  <c r="AS83" i="8"/>
  <c r="AQ83" i="8"/>
  <c r="J83" i="8"/>
  <c r="BU82" i="8"/>
  <c r="BH82" i="8"/>
  <c r="X82" i="8" s="1"/>
  <c r="BB82" i="8"/>
  <c r="AN82" i="8"/>
  <c r="BG82" i="8" s="1"/>
  <c r="AM82" i="8"/>
  <c r="AJ82" i="8"/>
  <c r="AH82" i="8"/>
  <c r="AF82" i="8"/>
  <c r="AE82" i="8"/>
  <c r="AD82" i="8"/>
  <c r="AC82" i="8"/>
  <c r="AB82" i="8"/>
  <c r="AA82" i="8"/>
  <c r="Z82" i="8"/>
  <c r="L82" i="8"/>
  <c r="BD82" i="8" s="1"/>
  <c r="J82" i="8"/>
  <c r="AI82" i="8" s="1"/>
  <c r="I82" i="8"/>
  <c r="BU80" i="8"/>
  <c r="BH80" i="8"/>
  <c r="BD80" i="8"/>
  <c r="BB80" i="8"/>
  <c r="AN80" i="8"/>
  <c r="AM80" i="8"/>
  <c r="BF80" i="8" s="1"/>
  <c r="Z80" i="8" s="1"/>
  <c r="AJ80" i="8"/>
  <c r="AH80" i="8"/>
  <c r="AF80" i="8"/>
  <c r="AE80" i="8"/>
  <c r="AD80" i="8"/>
  <c r="AC80" i="8"/>
  <c r="AB80" i="8"/>
  <c r="X80" i="8"/>
  <c r="L80" i="8"/>
  <c r="J80" i="8"/>
  <c r="AI80" i="8" s="1"/>
  <c r="I80" i="8"/>
  <c r="H80" i="8"/>
  <c r="BU78" i="8"/>
  <c r="BH78" i="8"/>
  <c r="BD78" i="8"/>
  <c r="BB78" i="8"/>
  <c r="AN78" i="8"/>
  <c r="I78" i="8" s="1"/>
  <c r="I77" i="8" s="1"/>
  <c r="AM78" i="8"/>
  <c r="BF78" i="8" s="1"/>
  <c r="Z78" i="8" s="1"/>
  <c r="AJ78" i="8"/>
  <c r="AH78" i="8"/>
  <c r="AF78" i="8"/>
  <c r="AE78" i="8"/>
  <c r="AD78" i="8"/>
  <c r="AC78" i="8"/>
  <c r="AB78" i="8"/>
  <c r="X78" i="8"/>
  <c r="L78" i="8"/>
  <c r="J78" i="8"/>
  <c r="AI78" i="8" s="1"/>
  <c r="BU75" i="8"/>
  <c r="BH75" i="8"/>
  <c r="BD75" i="8"/>
  <c r="BB75" i="8"/>
  <c r="AN75" i="8"/>
  <c r="AM75" i="8"/>
  <c r="AU75" i="8" s="1"/>
  <c r="AJ75" i="8"/>
  <c r="AH75" i="8"/>
  <c r="AF75" i="8"/>
  <c r="AE75" i="8"/>
  <c r="AD75" i="8"/>
  <c r="AC75" i="8"/>
  <c r="AB75" i="8"/>
  <c r="X75" i="8"/>
  <c r="L75" i="8"/>
  <c r="L72" i="8" s="1"/>
  <c r="J75" i="8"/>
  <c r="AI75" i="8" s="1"/>
  <c r="BU73" i="8"/>
  <c r="BH73" i="8"/>
  <c r="BB73" i="8"/>
  <c r="AN73" i="8"/>
  <c r="BG73" i="8" s="1"/>
  <c r="AA73" i="8" s="1"/>
  <c r="AM73" i="8"/>
  <c r="BF73" i="8" s="1"/>
  <c r="Z73" i="8" s="1"/>
  <c r="AJ73" i="8"/>
  <c r="AH73" i="8"/>
  <c r="AF73" i="8"/>
  <c r="AE73" i="8"/>
  <c r="AD73" i="8"/>
  <c r="AC73" i="8"/>
  <c r="AB73" i="8"/>
  <c r="X73" i="8"/>
  <c r="L73" i="8"/>
  <c r="BD73" i="8" s="1"/>
  <c r="J73" i="8"/>
  <c r="I73" i="8"/>
  <c r="H73" i="8"/>
  <c r="AS72" i="8"/>
  <c r="BU70" i="8"/>
  <c r="BH70" i="8"/>
  <c r="BB70" i="8"/>
  <c r="AN70" i="8"/>
  <c r="AV70" i="8" s="1"/>
  <c r="AM70" i="8"/>
  <c r="BF70" i="8" s="1"/>
  <c r="Z70" i="8" s="1"/>
  <c r="AJ70" i="8"/>
  <c r="AH70" i="8"/>
  <c r="AF70" i="8"/>
  <c r="AE70" i="8"/>
  <c r="AD70" i="8"/>
  <c r="AC70" i="8"/>
  <c r="AB70" i="8"/>
  <c r="X70" i="8"/>
  <c r="L70" i="8"/>
  <c r="BD70" i="8" s="1"/>
  <c r="J70" i="8"/>
  <c r="I70" i="8"/>
  <c r="H70" i="8"/>
  <c r="BU69" i="8"/>
  <c r="BH69" i="8"/>
  <c r="BB69" i="8"/>
  <c r="AN69" i="8"/>
  <c r="AV69" i="8" s="1"/>
  <c r="AM69" i="8"/>
  <c r="BF69" i="8" s="1"/>
  <c r="Z69" i="8" s="1"/>
  <c r="AJ69" i="8"/>
  <c r="AH69" i="8"/>
  <c r="AQ66" i="8" s="1"/>
  <c r="AF69" i="8"/>
  <c r="AE69" i="8"/>
  <c r="AD69" i="8"/>
  <c r="AC69" i="8"/>
  <c r="AB69" i="8"/>
  <c r="X69" i="8"/>
  <c r="L69" i="8"/>
  <c r="BD69" i="8" s="1"/>
  <c r="J69" i="8"/>
  <c r="I69" i="8"/>
  <c r="H69" i="8"/>
  <c r="BU67" i="8"/>
  <c r="BH67" i="8"/>
  <c r="BB67" i="8"/>
  <c r="AN67" i="8"/>
  <c r="AV67" i="8" s="1"/>
  <c r="AM67" i="8"/>
  <c r="BF67" i="8" s="1"/>
  <c r="Z67" i="8" s="1"/>
  <c r="AJ67" i="8"/>
  <c r="AH67" i="8"/>
  <c r="AF67" i="8"/>
  <c r="AE67" i="8"/>
  <c r="AD67" i="8"/>
  <c r="AC67" i="8"/>
  <c r="AB67" i="8"/>
  <c r="X67" i="8"/>
  <c r="L67" i="8"/>
  <c r="BD67" i="8" s="1"/>
  <c r="J67" i="8"/>
  <c r="I67" i="8"/>
  <c r="H67" i="8"/>
  <c r="L66" i="8"/>
  <c r="BU64" i="8"/>
  <c r="BH64" i="8"/>
  <c r="BB64" i="8"/>
  <c r="AN64" i="8"/>
  <c r="AV64" i="8" s="1"/>
  <c r="AM64" i="8"/>
  <c r="BF64" i="8" s="1"/>
  <c r="Z64" i="8" s="1"/>
  <c r="AJ64" i="8"/>
  <c r="AH64" i="8"/>
  <c r="AF64" i="8"/>
  <c r="AE64" i="8"/>
  <c r="AD64" i="8"/>
  <c r="AC64" i="8"/>
  <c r="AB64" i="8"/>
  <c r="X64" i="8"/>
  <c r="L64" i="8"/>
  <c r="BD64" i="8" s="1"/>
  <c r="J64" i="8"/>
  <c r="I64" i="8"/>
  <c r="H64" i="8"/>
  <c r="BU62" i="8"/>
  <c r="BH62" i="8"/>
  <c r="BD62" i="8"/>
  <c r="BB62" i="8"/>
  <c r="AN62" i="8"/>
  <c r="AV62" i="8" s="1"/>
  <c r="AM62" i="8"/>
  <c r="BF62" i="8" s="1"/>
  <c r="Z62" i="8" s="1"/>
  <c r="AJ62" i="8"/>
  <c r="AH62" i="8"/>
  <c r="AF62" i="8"/>
  <c r="AE62" i="8"/>
  <c r="AD62" i="8"/>
  <c r="AC62" i="8"/>
  <c r="AB62" i="8"/>
  <c r="X62" i="8"/>
  <c r="L62" i="8"/>
  <c r="J62" i="8"/>
  <c r="I62" i="8"/>
  <c r="H62" i="8"/>
  <c r="BU60" i="8"/>
  <c r="BH60" i="8"/>
  <c r="BB60" i="8"/>
  <c r="AN60" i="8"/>
  <c r="AV60" i="8" s="1"/>
  <c r="AM60" i="8"/>
  <c r="BF60" i="8" s="1"/>
  <c r="Z60" i="8" s="1"/>
  <c r="AJ60" i="8"/>
  <c r="AH60" i="8"/>
  <c r="AF60" i="8"/>
  <c r="AE60" i="8"/>
  <c r="AD60" i="8"/>
  <c r="AC60" i="8"/>
  <c r="AB60" i="8"/>
  <c r="X60" i="8"/>
  <c r="L60" i="8"/>
  <c r="BD60" i="8" s="1"/>
  <c r="J60" i="8"/>
  <c r="I60" i="8"/>
  <c r="H60" i="8"/>
  <c r="BU58" i="8"/>
  <c r="BH58" i="8"/>
  <c r="BB58" i="8"/>
  <c r="AU58" i="8"/>
  <c r="AN58" i="8"/>
  <c r="AV58" i="8" s="1"/>
  <c r="AT58" i="8" s="1"/>
  <c r="AM58" i="8"/>
  <c r="BF58" i="8" s="1"/>
  <c r="Z58" i="8" s="1"/>
  <c r="AJ58" i="8"/>
  <c r="AH58" i="8"/>
  <c r="AF58" i="8"/>
  <c r="AE58" i="8"/>
  <c r="AD58" i="8"/>
  <c r="AC58" i="8"/>
  <c r="AB58" i="8"/>
  <c r="X58" i="8"/>
  <c r="L58" i="8"/>
  <c r="BD58" i="8" s="1"/>
  <c r="J58" i="8"/>
  <c r="H58" i="8"/>
  <c r="H53" i="8" s="1"/>
  <c r="BU56" i="8"/>
  <c r="BH56" i="8"/>
  <c r="BG56" i="8"/>
  <c r="AA56" i="8" s="1"/>
  <c r="BD56" i="8"/>
  <c r="BB56" i="8"/>
  <c r="AN56" i="8"/>
  <c r="AV56" i="8" s="1"/>
  <c r="AM56" i="8"/>
  <c r="AJ56" i="8"/>
  <c r="AH56" i="8"/>
  <c r="AF56" i="8"/>
  <c r="AE56" i="8"/>
  <c r="AD56" i="8"/>
  <c r="AC56" i="8"/>
  <c r="AB56" i="8"/>
  <c r="X56" i="8"/>
  <c r="L56" i="8"/>
  <c r="J56" i="8"/>
  <c r="I56" i="8"/>
  <c r="H56" i="8"/>
  <c r="BU54" i="8"/>
  <c r="BH54" i="8"/>
  <c r="BD54" i="8"/>
  <c r="BB54" i="8"/>
  <c r="AN54" i="8"/>
  <c r="AV54" i="8" s="1"/>
  <c r="AM54" i="8"/>
  <c r="AJ54" i="8"/>
  <c r="AH54" i="8"/>
  <c r="AF54" i="8"/>
  <c r="AE54" i="8"/>
  <c r="AD54" i="8"/>
  <c r="AC54" i="8"/>
  <c r="AB54" i="8"/>
  <c r="X54" i="8"/>
  <c r="L54" i="8"/>
  <c r="J54" i="8"/>
  <c r="I54" i="8"/>
  <c r="H54" i="8"/>
  <c r="BU51" i="8"/>
  <c r="BH51" i="8"/>
  <c r="BD51" i="8"/>
  <c r="BB51" i="8"/>
  <c r="AN51" i="8"/>
  <c r="AV51" i="8" s="1"/>
  <c r="AM51" i="8"/>
  <c r="AJ51" i="8"/>
  <c r="AS48" i="8" s="1"/>
  <c r="AH51" i="8"/>
  <c r="AF51" i="8"/>
  <c r="AE51" i="8"/>
  <c r="AD51" i="8"/>
  <c r="AC51" i="8"/>
  <c r="AB51" i="8"/>
  <c r="X51" i="8"/>
  <c r="L51" i="8"/>
  <c r="J51" i="8"/>
  <c r="I51" i="8"/>
  <c r="H51" i="8"/>
  <c r="BU49" i="8"/>
  <c r="BH49" i="8"/>
  <c r="BD49" i="8"/>
  <c r="BB49" i="8"/>
  <c r="AN49" i="8"/>
  <c r="AV49" i="8" s="1"/>
  <c r="AM49" i="8"/>
  <c r="AJ49" i="8"/>
  <c r="AH49" i="8"/>
  <c r="AF49" i="8"/>
  <c r="AE49" i="8"/>
  <c r="AD49" i="8"/>
  <c r="AC49" i="8"/>
  <c r="AB49" i="8"/>
  <c r="X49" i="8"/>
  <c r="L49" i="8"/>
  <c r="L48" i="8" s="1"/>
  <c r="J49" i="8"/>
  <c r="I49" i="8"/>
  <c r="H49" i="8"/>
  <c r="J48" i="8"/>
  <c r="I48" i="8"/>
  <c r="BU46" i="8"/>
  <c r="BH46" i="8"/>
  <c r="BB46" i="8"/>
  <c r="AU46" i="8"/>
  <c r="AN46" i="8"/>
  <c r="AV46" i="8" s="1"/>
  <c r="AM46" i="8"/>
  <c r="BF46" i="8" s="1"/>
  <c r="Z46" i="8" s="1"/>
  <c r="AJ46" i="8"/>
  <c r="AH46" i="8"/>
  <c r="AF46" i="8"/>
  <c r="AE46" i="8"/>
  <c r="AD46" i="8"/>
  <c r="AC46" i="8"/>
  <c r="AB46" i="8"/>
  <c r="X46" i="8"/>
  <c r="L46" i="8"/>
  <c r="BD46" i="8" s="1"/>
  <c r="J46" i="8"/>
  <c r="I46" i="8"/>
  <c r="H46" i="8"/>
  <c r="BU44" i="8"/>
  <c r="BH44" i="8"/>
  <c r="BD44" i="8"/>
  <c r="BB44" i="8"/>
  <c r="AU44" i="8"/>
  <c r="AN44" i="8"/>
  <c r="AV44" i="8" s="1"/>
  <c r="AT44" i="8" s="1"/>
  <c r="AM44" i="8"/>
  <c r="BF44" i="8" s="1"/>
  <c r="Z44" i="8" s="1"/>
  <c r="AJ44" i="8"/>
  <c r="AH44" i="8"/>
  <c r="AF44" i="8"/>
  <c r="AE44" i="8"/>
  <c r="AD44" i="8"/>
  <c r="AC44" i="8"/>
  <c r="AB44" i="8"/>
  <c r="X44" i="8"/>
  <c r="L44" i="8"/>
  <c r="J44" i="8"/>
  <c r="I44" i="8"/>
  <c r="H44" i="8"/>
  <c r="BU42" i="8"/>
  <c r="BH42" i="8"/>
  <c r="BG42" i="8"/>
  <c r="AA42" i="8" s="1"/>
  <c r="BB42" i="8"/>
  <c r="AN42" i="8"/>
  <c r="AV42" i="8" s="1"/>
  <c r="AM42" i="8"/>
  <c r="BF42" i="8" s="1"/>
  <c r="Z42" i="8" s="1"/>
  <c r="AJ42" i="8"/>
  <c r="AH42" i="8"/>
  <c r="AF42" i="8"/>
  <c r="AE42" i="8"/>
  <c r="AD42" i="8"/>
  <c r="AC42" i="8"/>
  <c r="AB42" i="8"/>
  <c r="X42" i="8"/>
  <c r="L42" i="8"/>
  <c r="BD42" i="8" s="1"/>
  <c r="J42" i="8"/>
  <c r="I42" i="8"/>
  <c r="H42" i="8"/>
  <c r="BU40" i="8"/>
  <c r="BH40" i="8"/>
  <c r="BB40" i="8"/>
  <c r="AU40" i="8"/>
  <c r="AN40" i="8"/>
  <c r="AV40" i="8" s="1"/>
  <c r="AM40" i="8"/>
  <c r="BF40" i="8" s="1"/>
  <c r="Z40" i="8" s="1"/>
  <c r="AJ40" i="8"/>
  <c r="AH40" i="8"/>
  <c r="AF40" i="8"/>
  <c r="AE40" i="8"/>
  <c r="AD40" i="8"/>
  <c r="AC40" i="8"/>
  <c r="AB40" i="8"/>
  <c r="X40" i="8"/>
  <c r="L40" i="8"/>
  <c r="BD40" i="8" s="1"/>
  <c r="J40" i="8"/>
  <c r="I40" i="8"/>
  <c r="H40" i="8"/>
  <c r="BU38" i="8"/>
  <c r="BH38" i="8"/>
  <c r="BB38" i="8"/>
  <c r="AN38" i="8"/>
  <c r="AV38" i="8" s="1"/>
  <c r="AM38" i="8"/>
  <c r="BF38" i="8" s="1"/>
  <c r="Z38" i="8" s="1"/>
  <c r="AJ38" i="8"/>
  <c r="AH38" i="8"/>
  <c r="AF38" i="8"/>
  <c r="AE38" i="8"/>
  <c r="AD38" i="8"/>
  <c r="AC38" i="8"/>
  <c r="AB38" i="8"/>
  <c r="X38" i="8"/>
  <c r="L38" i="8"/>
  <c r="BD38" i="8" s="1"/>
  <c r="J38" i="8"/>
  <c r="I38" i="8"/>
  <c r="H38" i="8"/>
  <c r="BU36" i="8"/>
  <c r="BH36" i="8"/>
  <c r="BD36" i="8"/>
  <c r="BB36" i="8"/>
  <c r="AN36" i="8"/>
  <c r="AV36" i="8" s="1"/>
  <c r="AM36" i="8"/>
  <c r="BF36" i="8" s="1"/>
  <c r="Z36" i="8" s="1"/>
  <c r="AJ36" i="8"/>
  <c r="AS33" i="8" s="1"/>
  <c r="AH36" i="8"/>
  <c r="AF36" i="8"/>
  <c r="AE36" i="8"/>
  <c r="AD36" i="8"/>
  <c r="AC36" i="8"/>
  <c r="AB36" i="8"/>
  <c r="X36" i="8"/>
  <c r="L36" i="8"/>
  <c r="J36" i="8"/>
  <c r="I36" i="8"/>
  <c r="H36" i="8"/>
  <c r="BU34" i="8"/>
  <c r="BH34" i="8"/>
  <c r="BG34" i="8"/>
  <c r="AA34" i="8" s="1"/>
  <c r="BB34" i="8"/>
  <c r="AU34" i="8"/>
  <c r="BA34" i="8" s="1"/>
  <c r="AN34" i="8"/>
  <c r="AV34" i="8" s="1"/>
  <c r="AM34" i="8"/>
  <c r="BF34" i="8" s="1"/>
  <c r="Z34" i="8" s="1"/>
  <c r="AJ34" i="8"/>
  <c r="AH34" i="8"/>
  <c r="AF34" i="8"/>
  <c r="AE34" i="8"/>
  <c r="AD34" i="8"/>
  <c r="AC34" i="8"/>
  <c r="AB34" i="8"/>
  <c r="X34" i="8"/>
  <c r="L34" i="8"/>
  <c r="BD34" i="8" s="1"/>
  <c r="J34" i="8"/>
  <c r="I34" i="8"/>
  <c r="H34" i="8"/>
  <c r="H33" i="8" s="1"/>
  <c r="L33" i="8"/>
  <c r="BU31" i="8"/>
  <c r="BH31" i="8"/>
  <c r="BB31" i="8"/>
  <c r="AN31" i="8"/>
  <c r="AV31" i="8" s="1"/>
  <c r="AM31" i="8"/>
  <c r="BF31" i="8" s="1"/>
  <c r="Z31" i="8" s="1"/>
  <c r="AJ31" i="8"/>
  <c r="AH31" i="8"/>
  <c r="AF31" i="8"/>
  <c r="AE31" i="8"/>
  <c r="AD31" i="8"/>
  <c r="AC31" i="8"/>
  <c r="AB31" i="8"/>
  <c r="X31" i="8"/>
  <c r="L31" i="8"/>
  <c r="BD31" i="8" s="1"/>
  <c r="J31" i="8"/>
  <c r="I31" i="8"/>
  <c r="H31" i="8"/>
  <c r="BU29" i="8"/>
  <c r="BH29" i="8"/>
  <c r="BB29" i="8"/>
  <c r="AN29" i="8"/>
  <c r="AV29" i="8" s="1"/>
  <c r="AM29" i="8"/>
  <c r="AJ29" i="8"/>
  <c r="AH29" i="8"/>
  <c r="AF29" i="8"/>
  <c r="AE29" i="8"/>
  <c r="AD29" i="8"/>
  <c r="AC29" i="8"/>
  <c r="AB29" i="8"/>
  <c r="X29" i="8"/>
  <c r="L29" i="8"/>
  <c r="BD29" i="8" s="1"/>
  <c r="J29" i="8"/>
  <c r="I29" i="8"/>
  <c r="H29" i="8"/>
  <c r="BU27" i="8"/>
  <c r="BH27" i="8"/>
  <c r="BB27" i="8"/>
  <c r="AN27" i="8"/>
  <c r="AV27" i="8" s="1"/>
  <c r="AM27" i="8"/>
  <c r="BF27" i="8" s="1"/>
  <c r="Z27" i="8" s="1"/>
  <c r="AJ27" i="8"/>
  <c r="AH27" i="8"/>
  <c r="AF27" i="8"/>
  <c r="AE27" i="8"/>
  <c r="AD27" i="8"/>
  <c r="AC27" i="8"/>
  <c r="AB27" i="8"/>
  <c r="X27" i="8"/>
  <c r="L27" i="8"/>
  <c r="BD27" i="8" s="1"/>
  <c r="J27" i="8"/>
  <c r="I27" i="8"/>
  <c r="H27" i="8"/>
  <c r="BU25" i="8"/>
  <c r="BH25" i="8"/>
  <c r="BB25" i="8"/>
  <c r="AU25" i="8"/>
  <c r="AN25" i="8"/>
  <c r="AV25" i="8" s="1"/>
  <c r="AM25" i="8"/>
  <c r="BF25" i="8" s="1"/>
  <c r="Z25" i="8" s="1"/>
  <c r="AJ25" i="8"/>
  <c r="AH25" i="8"/>
  <c r="AF25" i="8"/>
  <c r="AE25" i="8"/>
  <c r="AD25" i="8"/>
  <c r="AC25" i="8"/>
  <c r="AB25" i="8"/>
  <c r="X25" i="8"/>
  <c r="L25" i="8"/>
  <c r="BD25" i="8" s="1"/>
  <c r="J25" i="8"/>
  <c r="I25" i="8"/>
  <c r="H25" i="8"/>
  <c r="BU23" i="8"/>
  <c r="BH23" i="8"/>
  <c r="BB23" i="8"/>
  <c r="AN23" i="8"/>
  <c r="AV23" i="8" s="1"/>
  <c r="AM23" i="8"/>
  <c r="BF23" i="8" s="1"/>
  <c r="Z23" i="8" s="1"/>
  <c r="AJ23" i="8"/>
  <c r="AH23" i="8"/>
  <c r="AF23" i="8"/>
  <c r="AE23" i="8"/>
  <c r="AD23" i="8"/>
  <c r="AC23" i="8"/>
  <c r="AB23" i="8"/>
  <c r="X23" i="8"/>
  <c r="L23" i="8"/>
  <c r="BD23" i="8" s="1"/>
  <c r="J23" i="8"/>
  <c r="I23" i="8"/>
  <c r="H23" i="8"/>
  <c r="BU21" i="8"/>
  <c r="BH21" i="8"/>
  <c r="BB21" i="8"/>
  <c r="AN21" i="8"/>
  <c r="AV21" i="8" s="1"/>
  <c r="AM21" i="8"/>
  <c r="AJ21" i="8"/>
  <c r="AH21" i="8"/>
  <c r="AF21" i="8"/>
  <c r="AE21" i="8"/>
  <c r="AD21" i="8"/>
  <c r="AC21" i="8"/>
  <c r="AB21" i="8"/>
  <c r="X21" i="8"/>
  <c r="L21" i="8"/>
  <c r="BD21" i="8" s="1"/>
  <c r="J21" i="8"/>
  <c r="I21" i="8"/>
  <c r="H21" i="8"/>
  <c r="BU19" i="8"/>
  <c r="BH19" i="8"/>
  <c r="BB19" i="8"/>
  <c r="AN19" i="8"/>
  <c r="AV19" i="8" s="1"/>
  <c r="AM19" i="8"/>
  <c r="BF19" i="8" s="1"/>
  <c r="Z19" i="8" s="1"/>
  <c r="AJ19" i="8"/>
  <c r="AH19" i="8"/>
  <c r="AF19" i="8"/>
  <c r="AE19" i="8"/>
  <c r="AD19" i="8"/>
  <c r="AC19" i="8"/>
  <c r="AB19" i="8"/>
  <c r="X19" i="8"/>
  <c r="L19" i="8"/>
  <c r="BD19" i="8" s="1"/>
  <c r="J19" i="8"/>
  <c r="I19" i="8"/>
  <c r="H19" i="8"/>
  <c r="BU16" i="8"/>
  <c r="BH16" i="8"/>
  <c r="BB16" i="8"/>
  <c r="AN16" i="8"/>
  <c r="AV16" i="8" s="1"/>
  <c r="AM16" i="8"/>
  <c r="AJ16" i="8"/>
  <c r="AH16" i="8"/>
  <c r="AF16" i="8"/>
  <c r="AE16" i="8"/>
  <c r="AD16" i="8"/>
  <c r="AC16" i="8"/>
  <c r="AB16" i="8"/>
  <c r="X16" i="8"/>
  <c r="L16" i="8"/>
  <c r="BD16" i="8" s="1"/>
  <c r="J16" i="8"/>
  <c r="I16" i="8"/>
  <c r="I15" i="8" s="1"/>
  <c r="H16" i="8"/>
  <c r="H15" i="8" s="1"/>
  <c r="AS15" i="8"/>
  <c r="AQ15" i="8"/>
  <c r="L15" i="8"/>
  <c r="J15" i="8"/>
  <c r="BU13" i="8"/>
  <c r="BH13" i="8"/>
  <c r="BB13" i="8"/>
  <c r="AU13" i="8"/>
  <c r="BA13" i="8" s="1"/>
  <c r="AN13" i="8"/>
  <c r="AV13" i="8" s="1"/>
  <c r="AM13" i="8"/>
  <c r="BF13" i="8" s="1"/>
  <c r="Z13" i="8" s="1"/>
  <c r="AJ13" i="8"/>
  <c r="AH13" i="8"/>
  <c r="AF13" i="8"/>
  <c r="AE13" i="8"/>
  <c r="AD13" i="8"/>
  <c r="AC13" i="8"/>
  <c r="AB13" i="8"/>
  <c r="X13" i="8"/>
  <c r="L13" i="8"/>
  <c r="BD13" i="8" s="1"/>
  <c r="J13" i="8"/>
  <c r="J12" i="8" s="1"/>
  <c r="I13" i="8"/>
  <c r="H13" i="8"/>
  <c r="AS12" i="8"/>
  <c r="AQ12" i="8"/>
  <c r="I12" i="8"/>
  <c r="H12" i="8"/>
  <c r="AS1" i="8"/>
  <c r="AR1" i="8"/>
  <c r="AQ1" i="8"/>
  <c r="BU201" i="7"/>
  <c r="BH201" i="7"/>
  <c r="AF201" i="7" s="1"/>
  <c r="BB201" i="7"/>
  <c r="AN201" i="7"/>
  <c r="BG201" i="7" s="1"/>
  <c r="AM201" i="7"/>
  <c r="AI201" i="7"/>
  <c r="AH201" i="7"/>
  <c r="AE201" i="7"/>
  <c r="AD201" i="7"/>
  <c r="AC201" i="7"/>
  <c r="AB201" i="7"/>
  <c r="AA201" i="7"/>
  <c r="Z201" i="7"/>
  <c r="X201" i="7"/>
  <c r="L201" i="7"/>
  <c r="BD201" i="7" s="1"/>
  <c r="J201" i="7"/>
  <c r="H201" i="7"/>
  <c r="BU199" i="7"/>
  <c r="BH199" i="7"/>
  <c r="AF199" i="7" s="1"/>
  <c r="BB199" i="7"/>
  <c r="AN199" i="7"/>
  <c r="BG199" i="7" s="1"/>
  <c r="AM199" i="7"/>
  <c r="AI199" i="7"/>
  <c r="AH199" i="7"/>
  <c r="AE199" i="7"/>
  <c r="AD199" i="7"/>
  <c r="AC199" i="7"/>
  <c r="AB199" i="7"/>
  <c r="AA199" i="7"/>
  <c r="Z199" i="7"/>
  <c r="X199" i="7"/>
  <c r="L199" i="7"/>
  <c r="BD199" i="7" s="1"/>
  <c r="J199" i="7"/>
  <c r="BU197" i="7"/>
  <c r="BH197" i="7"/>
  <c r="AF197" i="7" s="1"/>
  <c r="BD197" i="7"/>
  <c r="BB197" i="7"/>
  <c r="AN197" i="7"/>
  <c r="BG197" i="7" s="1"/>
  <c r="AM197" i="7"/>
  <c r="BF197" i="7" s="1"/>
  <c r="AI197" i="7"/>
  <c r="AH197" i="7"/>
  <c r="AE197" i="7"/>
  <c r="AD197" i="7"/>
  <c r="AC197" i="7"/>
  <c r="AB197" i="7"/>
  <c r="AA197" i="7"/>
  <c r="Z197" i="7"/>
  <c r="X197" i="7"/>
  <c r="L197" i="7"/>
  <c r="J197" i="7"/>
  <c r="H197" i="7"/>
  <c r="BU195" i="7"/>
  <c r="BH195" i="7"/>
  <c r="AF195" i="7" s="1"/>
  <c r="BB195" i="7"/>
  <c r="AV195" i="7"/>
  <c r="AN195" i="7"/>
  <c r="BG195" i="7" s="1"/>
  <c r="AM195" i="7"/>
  <c r="BF195" i="7" s="1"/>
  <c r="AI195" i="7"/>
  <c r="AH195" i="7"/>
  <c r="AE195" i="7"/>
  <c r="AD195" i="7"/>
  <c r="AC195" i="7"/>
  <c r="AB195" i="7"/>
  <c r="AA195" i="7"/>
  <c r="Z195" i="7"/>
  <c r="X195" i="7"/>
  <c r="L195" i="7"/>
  <c r="BD195" i="7" s="1"/>
  <c r="J195" i="7"/>
  <c r="I195" i="7"/>
  <c r="BU194" i="7"/>
  <c r="BH194" i="7"/>
  <c r="AF194" i="7" s="1"/>
  <c r="BD194" i="7"/>
  <c r="BB194" i="7"/>
  <c r="AN194" i="7"/>
  <c r="AM194" i="7"/>
  <c r="BF194" i="7" s="1"/>
  <c r="AI194" i="7"/>
  <c r="AH194" i="7"/>
  <c r="AE194" i="7"/>
  <c r="AD194" i="7"/>
  <c r="AC194" i="7"/>
  <c r="AB194" i="7"/>
  <c r="AA194" i="7"/>
  <c r="Z194" i="7"/>
  <c r="X194" i="7"/>
  <c r="L194" i="7"/>
  <c r="J194" i="7"/>
  <c r="BU193" i="7"/>
  <c r="BH193" i="7"/>
  <c r="AF193" i="7" s="1"/>
  <c r="BB193" i="7"/>
  <c r="AV193" i="7"/>
  <c r="AN193" i="7"/>
  <c r="BG193" i="7" s="1"/>
  <c r="AM193" i="7"/>
  <c r="BF193" i="7" s="1"/>
  <c r="AI193" i="7"/>
  <c r="AH193" i="7"/>
  <c r="AE193" i="7"/>
  <c r="AD193" i="7"/>
  <c r="AC193" i="7"/>
  <c r="AB193" i="7"/>
  <c r="AA193" i="7"/>
  <c r="Z193" i="7"/>
  <c r="X193" i="7"/>
  <c r="L193" i="7"/>
  <c r="BD193" i="7" s="1"/>
  <c r="J193" i="7"/>
  <c r="H193" i="7"/>
  <c r="BU192" i="7"/>
  <c r="BH192" i="7"/>
  <c r="AF192" i="7" s="1"/>
  <c r="BB192" i="7"/>
  <c r="AN192" i="7"/>
  <c r="AM192" i="7"/>
  <c r="BF192" i="7" s="1"/>
  <c r="AI192" i="7"/>
  <c r="AH192" i="7"/>
  <c r="AE192" i="7"/>
  <c r="AD192" i="7"/>
  <c r="AC192" i="7"/>
  <c r="AB192" i="7"/>
  <c r="AA192" i="7"/>
  <c r="Z192" i="7"/>
  <c r="X192" i="7"/>
  <c r="L192" i="7"/>
  <c r="BD192" i="7" s="1"/>
  <c r="J192" i="7"/>
  <c r="BU191" i="7"/>
  <c r="BH191" i="7"/>
  <c r="AF191" i="7" s="1"/>
  <c r="BB191" i="7"/>
  <c r="AV191" i="7"/>
  <c r="AN191" i="7"/>
  <c r="BG191" i="7" s="1"/>
  <c r="AM191" i="7"/>
  <c r="BF191" i="7" s="1"/>
  <c r="AI191" i="7"/>
  <c r="AH191" i="7"/>
  <c r="AE191" i="7"/>
  <c r="AD191" i="7"/>
  <c r="AC191" i="7"/>
  <c r="AB191" i="7"/>
  <c r="AA191" i="7"/>
  <c r="Z191" i="7"/>
  <c r="X191" i="7"/>
  <c r="L191" i="7"/>
  <c r="BD191" i="7" s="1"/>
  <c r="J191" i="7"/>
  <c r="I191" i="7"/>
  <c r="BU190" i="7"/>
  <c r="BH190" i="7"/>
  <c r="AF190" i="7" s="1"/>
  <c r="BD190" i="7"/>
  <c r="BB190" i="7"/>
  <c r="AN190" i="7"/>
  <c r="AM190" i="7"/>
  <c r="BF190" i="7" s="1"/>
  <c r="AI190" i="7"/>
  <c r="AH190" i="7"/>
  <c r="AE190" i="7"/>
  <c r="AD190" i="7"/>
  <c r="AC190" i="7"/>
  <c r="AB190" i="7"/>
  <c r="AA190" i="7"/>
  <c r="Z190" i="7"/>
  <c r="X190" i="7"/>
  <c r="L190" i="7"/>
  <c r="J190" i="7"/>
  <c r="BU189" i="7"/>
  <c r="BH189" i="7"/>
  <c r="AF189" i="7" s="1"/>
  <c r="BB189" i="7"/>
  <c r="AV189" i="7"/>
  <c r="AU189" i="7"/>
  <c r="AN189" i="7"/>
  <c r="BG189" i="7" s="1"/>
  <c r="AM189" i="7"/>
  <c r="BF189" i="7" s="1"/>
  <c r="AI189" i="7"/>
  <c r="AH189" i="7"/>
  <c r="AE189" i="7"/>
  <c r="AD189" i="7"/>
  <c r="AC189" i="7"/>
  <c r="AB189" i="7"/>
  <c r="AA189" i="7"/>
  <c r="Z189" i="7"/>
  <c r="X189" i="7"/>
  <c r="L189" i="7"/>
  <c r="BD189" i="7" s="1"/>
  <c r="J189" i="7"/>
  <c r="H189" i="7"/>
  <c r="BU188" i="7"/>
  <c r="BH188" i="7"/>
  <c r="AF188" i="7" s="1"/>
  <c r="BB188" i="7"/>
  <c r="AN188" i="7"/>
  <c r="AM188" i="7"/>
  <c r="BF188" i="7" s="1"/>
  <c r="AI188" i="7"/>
  <c r="AH188" i="7"/>
  <c r="AE188" i="7"/>
  <c r="AD188" i="7"/>
  <c r="AC188" i="7"/>
  <c r="AB188" i="7"/>
  <c r="AA188" i="7"/>
  <c r="Z188" i="7"/>
  <c r="X188" i="7"/>
  <c r="L188" i="7"/>
  <c r="BD188" i="7" s="1"/>
  <c r="J188" i="7"/>
  <c r="BU187" i="7"/>
  <c r="BH187" i="7"/>
  <c r="AF187" i="7" s="1"/>
  <c r="BB187" i="7"/>
  <c r="AV187" i="7"/>
  <c r="AN187" i="7"/>
  <c r="BG187" i="7" s="1"/>
  <c r="AM187" i="7"/>
  <c r="BF187" i="7" s="1"/>
  <c r="AI187" i="7"/>
  <c r="AH187" i="7"/>
  <c r="AE187" i="7"/>
  <c r="AD187" i="7"/>
  <c r="AC187" i="7"/>
  <c r="AB187" i="7"/>
  <c r="AA187" i="7"/>
  <c r="Z187" i="7"/>
  <c r="X187" i="7"/>
  <c r="L187" i="7"/>
  <c r="BD187" i="7" s="1"/>
  <c r="J187" i="7"/>
  <c r="I187" i="7"/>
  <c r="BU186" i="7"/>
  <c r="BH186" i="7"/>
  <c r="AF186" i="7" s="1"/>
  <c r="BD186" i="7"/>
  <c r="BB186" i="7"/>
  <c r="AN186" i="7"/>
  <c r="AM186" i="7"/>
  <c r="BF186" i="7" s="1"/>
  <c r="AI186" i="7"/>
  <c r="AH186" i="7"/>
  <c r="AE186" i="7"/>
  <c r="AD186" i="7"/>
  <c r="AC186" i="7"/>
  <c r="AB186" i="7"/>
  <c r="AA186" i="7"/>
  <c r="Z186" i="7"/>
  <c r="X186" i="7"/>
  <c r="L186" i="7"/>
  <c r="J186" i="7"/>
  <c r="BU185" i="7"/>
  <c r="BH185" i="7"/>
  <c r="AF185" i="7" s="1"/>
  <c r="BB185" i="7"/>
  <c r="AV185" i="7"/>
  <c r="AU185" i="7"/>
  <c r="AN185" i="7"/>
  <c r="BG185" i="7" s="1"/>
  <c r="AM185" i="7"/>
  <c r="BF185" i="7" s="1"/>
  <c r="AI185" i="7"/>
  <c r="AH185" i="7"/>
  <c r="AE185" i="7"/>
  <c r="AD185" i="7"/>
  <c r="AC185" i="7"/>
  <c r="AB185" i="7"/>
  <c r="AA185" i="7"/>
  <c r="Z185" i="7"/>
  <c r="X185" i="7"/>
  <c r="L185" i="7"/>
  <c r="BD185" i="7" s="1"/>
  <c r="J185" i="7"/>
  <c r="H185" i="7"/>
  <c r="BU183" i="7"/>
  <c r="BH183" i="7"/>
  <c r="AF183" i="7" s="1"/>
  <c r="BB183" i="7"/>
  <c r="AN183" i="7"/>
  <c r="AM183" i="7"/>
  <c r="BF183" i="7" s="1"/>
  <c r="AI183" i="7"/>
  <c r="AH183" i="7"/>
  <c r="AE183" i="7"/>
  <c r="AD183" i="7"/>
  <c r="AC183" i="7"/>
  <c r="AB183" i="7"/>
  <c r="AA183" i="7"/>
  <c r="Z183" i="7"/>
  <c r="X183" i="7"/>
  <c r="L183" i="7"/>
  <c r="BD183" i="7" s="1"/>
  <c r="J183" i="7"/>
  <c r="BU180" i="7"/>
  <c r="BH180" i="7"/>
  <c r="BB180" i="7"/>
  <c r="AV180" i="7"/>
  <c r="AN180" i="7"/>
  <c r="BG180" i="7" s="1"/>
  <c r="AE180" i="7" s="1"/>
  <c r="AM180" i="7"/>
  <c r="BF180" i="7" s="1"/>
  <c r="AI180" i="7"/>
  <c r="AH180" i="7"/>
  <c r="AF180" i="7"/>
  <c r="AD180" i="7"/>
  <c r="AC180" i="7"/>
  <c r="AB180" i="7"/>
  <c r="AA180" i="7"/>
  <c r="Z180" i="7"/>
  <c r="X180" i="7"/>
  <c r="L180" i="7"/>
  <c r="BD180" i="7" s="1"/>
  <c r="J180" i="7"/>
  <c r="H180" i="7"/>
  <c r="BU178" i="7"/>
  <c r="BH178" i="7"/>
  <c r="BB178" i="7"/>
  <c r="AN178" i="7"/>
  <c r="AM178" i="7"/>
  <c r="BF178" i="7" s="1"/>
  <c r="AI178" i="7"/>
  <c r="AH178" i="7"/>
  <c r="AQ177" i="7" s="1"/>
  <c r="AF178" i="7"/>
  <c r="AD178" i="7"/>
  <c r="AC178" i="7"/>
  <c r="AB178" i="7"/>
  <c r="AA178" i="7"/>
  <c r="Z178" i="7"/>
  <c r="X178" i="7"/>
  <c r="L178" i="7"/>
  <c r="BD178" i="7" s="1"/>
  <c r="J178" i="7"/>
  <c r="J177" i="7" s="1"/>
  <c r="BU175" i="7"/>
  <c r="BH175" i="7"/>
  <c r="BB175" i="7"/>
  <c r="AN175" i="7"/>
  <c r="AM175" i="7"/>
  <c r="AI175" i="7"/>
  <c r="AR174" i="7" s="1"/>
  <c r="AH175" i="7"/>
  <c r="AF175" i="7"/>
  <c r="AC175" i="7"/>
  <c r="AB175" i="7"/>
  <c r="AA175" i="7"/>
  <c r="Z175" i="7"/>
  <c r="X175" i="7"/>
  <c r="L175" i="7"/>
  <c r="BD175" i="7" s="1"/>
  <c r="J175" i="7"/>
  <c r="AQ174" i="7"/>
  <c r="L174" i="7"/>
  <c r="J174" i="7"/>
  <c r="BU172" i="7"/>
  <c r="BH172" i="7"/>
  <c r="BB172" i="7"/>
  <c r="AV172" i="7"/>
  <c r="AN172" i="7"/>
  <c r="BG172" i="7" s="1"/>
  <c r="AE172" i="7" s="1"/>
  <c r="AM172" i="7"/>
  <c r="BF172" i="7" s="1"/>
  <c r="AI172" i="7"/>
  <c r="AR171" i="7" s="1"/>
  <c r="AH172" i="7"/>
  <c r="AF172" i="7"/>
  <c r="AD172" i="7"/>
  <c r="AC172" i="7"/>
  <c r="AB172" i="7"/>
  <c r="AA172" i="7"/>
  <c r="Z172" i="7"/>
  <c r="X172" i="7"/>
  <c r="L172" i="7"/>
  <c r="BD172" i="7" s="1"/>
  <c r="J172" i="7"/>
  <c r="I172" i="7"/>
  <c r="AQ171" i="7"/>
  <c r="J171" i="7"/>
  <c r="I171" i="7"/>
  <c r="BU170" i="7"/>
  <c r="BH170" i="7"/>
  <c r="X170" i="7" s="1"/>
  <c r="BD170" i="7"/>
  <c r="BB170" i="7"/>
  <c r="AN170" i="7"/>
  <c r="AM170" i="7"/>
  <c r="AI170" i="7"/>
  <c r="AR169" i="7" s="1"/>
  <c r="AH170" i="7"/>
  <c r="AQ169" i="7" s="1"/>
  <c r="AF170" i="7"/>
  <c r="AE170" i="7"/>
  <c r="AD170" i="7"/>
  <c r="AC170" i="7"/>
  <c r="AB170" i="7"/>
  <c r="AA170" i="7"/>
  <c r="Z170" i="7"/>
  <c r="L170" i="7"/>
  <c r="J170" i="7"/>
  <c r="J169" i="7" s="1"/>
  <c r="L169" i="7"/>
  <c r="BU168" i="7"/>
  <c r="BH168" i="7"/>
  <c r="X168" i="7" s="1"/>
  <c r="BB168" i="7"/>
  <c r="AN168" i="7"/>
  <c r="BG168" i="7" s="1"/>
  <c r="AM168" i="7"/>
  <c r="BF168" i="7" s="1"/>
  <c r="AI168" i="7"/>
  <c r="AH168" i="7"/>
  <c r="AQ167" i="7" s="1"/>
  <c r="AF168" i="7"/>
  <c r="AE168" i="7"/>
  <c r="AD168" i="7"/>
  <c r="AC168" i="7"/>
  <c r="AB168" i="7"/>
  <c r="AA168" i="7"/>
  <c r="Z168" i="7"/>
  <c r="L168" i="7"/>
  <c r="J168" i="7"/>
  <c r="J167" i="7" s="1"/>
  <c r="H168" i="7"/>
  <c r="H167" i="7" s="1"/>
  <c r="AR167" i="7"/>
  <c r="BU166" i="7"/>
  <c r="BH166" i="7"/>
  <c r="X166" i="7" s="1"/>
  <c r="BD166" i="7"/>
  <c r="BB166" i="7"/>
  <c r="AN166" i="7"/>
  <c r="BG166" i="7" s="1"/>
  <c r="AM166" i="7"/>
  <c r="AI166" i="7"/>
  <c r="AH166" i="7"/>
  <c r="AF166" i="7"/>
  <c r="AE166" i="7"/>
  <c r="AD166" i="7"/>
  <c r="AC166" i="7"/>
  <c r="AB166" i="7"/>
  <c r="AA166" i="7"/>
  <c r="Z166" i="7"/>
  <c r="L166" i="7"/>
  <c r="J166" i="7"/>
  <c r="AJ166" i="7" s="1"/>
  <c r="BU165" i="7"/>
  <c r="BH165" i="7"/>
  <c r="X165" i="7" s="1"/>
  <c r="BD165" i="7"/>
  <c r="BB165" i="7"/>
  <c r="AN165" i="7"/>
  <c r="AM165" i="7"/>
  <c r="AI165" i="7"/>
  <c r="AR164" i="7" s="1"/>
  <c r="AH165" i="7"/>
  <c r="AQ164" i="7" s="1"/>
  <c r="AF165" i="7"/>
  <c r="AE165" i="7"/>
  <c r="AD165" i="7"/>
  <c r="AC165" i="7"/>
  <c r="AB165" i="7"/>
  <c r="AA165" i="7"/>
  <c r="Z165" i="7"/>
  <c r="L165" i="7"/>
  <c r="J165" i="7"/>
  <c r="L164" i="7"/>
  <c r="BU163" i="7"/>
  <c r="BH163" i="7"/>
  <c r="X163" i="7" s="1"/>
  <c r="BB163" i="7"/>
  <c r="AU163" i="7"/>
  <c r="AN163" i="7"/>
  <c r="BG163" i="7" s="1"/>
  <c r="AM163" i="7"/>
  <c r="BF163" i="7" s="1"/>
  <c r="AI163" i="7"/>
  <c r="AH163" i="7"/>
  <c r="AF163" i="7"/>
  <c r="AE163" i="7"/>
  <c r="AD163" i="7"/>
  <c r="AC163" i="7"/>
  <c r="AB163" i="7"/>
  <c r="AA163" i="7"/>
  <c r="Z163" i="7"/>
  <c r="L163" i="7"/>
  <c r="BD163" i="7" s="1"/>
  <c r="J163" i="7"/>
  <c r="H163" i="7"/>
  <c r="BU161" i="7"/>
  <c r="BH161" i="7"/>
  <c r="X161" i="7" s="1"/>
  <c r="BB161" i="7"/>
  <c r="AN161" i="7"/>
  <c r="BG161" i="7" s="1"/>
  <c r="AM161" i="7"/>
  <c r="BF161" i="7" s="1"/>
  <c r="AI161" i="7"/>
  <c r="AH161" i="7"/>
  <c r="AF161" i="7"/>
  <c r="AE161" i="7"/>
  <c r="AD161" i="7"/>
  <c r="AC161" i="7"/>
  <c r="AB161" i="7"/>
  <c r="AA161" i="7"/>
  <c r="Z161" i="7"/>
  <c r="L161" i="7"/>
  <c r="BD161" i="7" s="1"/>
  <c r="J161" i="7"/>
  <c r="H161" i="7"/>
  <c r="BU159" i="7"/>
  <c r="BH159" i="7"/>
  <c r="X159" i="7" s="1"/>
  <c r="BB159" i="7"/>
  <c r="AU159" i="7"/>
  <c r="AN159" i="7"/>
  <c r="BG159" i="7" s="1"/>
  <c r="AM159" i="7"/>
  <c r="BF159" i="7" s="1"/>
  <c r="AI159" i="7"/>
  <c r="AH159" i="7"/>
  <c r="AF159" i="7"/>
  <c r="AE159" i="7"/>
  <c r="AD159" i="7"/>
  <c r="AC159" i="7"/>
  <c r="AB159" i="7"/>
  <c r="AA159" i="7"/>
  <c r="Z159" i="7"/>
  <c r="L159" i="7"/>
  <c r="J159" i="7"/>
  <c r="AJ159" i="7" s="1"/>
  <c r="H159" i="7"/>
  <c r="BU158" i="7"/>
  <c r="BH158" i="7"/>
  <c r="X158" i="7" s="1"/>
  <c r="BB158" i="7"/>
  <c r="AN158" i="7"/>
  <c r="BG158" i="7" s="1"/>
  <c r="AM158" i="7"/>
  <c r="BF158" i="7" s="1"/>
  <c r="AI158" i="7"/>
  <c r="AH158" i="7"/>
  <c r="AF158" i="7"/>
  <c r="AE158" i="7"/>
  <c r="AD158" i="7"/>
  <c r="AC158" i="7"/>
  <c r="AB158" i="7"/>
  <c r="AA158" i="7"/>
  <c r="Z158" i="7"/>
  <c r="L158" i="7"/>
  <c r="BD158" i="7" s="1"/>
  <c r="J158" i="7"/>
  <c r="AJ158" i="7" s="1"/>
  <c r="I158" i="7"/>
  <c r="BU155" i="7"/>
  <c r="BH155" i="7"/>
  <c r="BB155" i="7"/>
  <c r="AN155" i="7"/>
  <c r="AM155" i="7"/>
  <c r="BF155" i="7" s="1"/>
  <c r="Z155" i="7" s="1"/>
  <c r="AI155" i="7"/>
  <c r="AR154" i="7" s="1"/>
  <c r="AH155" i="7"/>
  <c r="AQ154" i="7" s="1"/>
  <c r="AF155" i="7"/>
  <c r="AE155" i="7"/>
  <c r="AD155" i="7"/>
  <c r="AC155" i="7"/>
  <c r="AB155" i="7"/>
  <c r="X155" i="7"/>
  <c r="L155" i="7"/>
  <c r="J155" i="7"/>
  <c r="J154" i="7" s="1"/>
  <c r="H155" i="7"/>
  <c r="H154" i="7" s="1"/>
  <c r="BU153" i="7"/>
  <c r="BH153" i="7"/>
  <c r="BD153" i="7"/>
  <c r="BB153" i="7"/>
  <c r="AN153" i="7"/>
  <c r="BG153" i="7" s="1"/>
  <c r="AA153" i="7" s="1"/>
  <c r="AM153" i="7"/>
  <c r="AI153" i="7"/>
  <c r="AH153" i="7"/>
  <c r="AF153" i="7"/>
  <c r="AE153" i="7"/>
  <c r="AD153" i="7"/>
  <c r="AC153" i="7"/>
  <c r="AB153" i="7"/>
  <c r="X153" i="7"/>
  <c r="L153" i="7"/>
  <c r="J153" i="7"/>
  <c r="BU151" i="7"/>
  <c r="BH151" i="7"/>
  <c r="BB151" i="7"/>
  <c r="AN151" i="7"/>
  <c r="AM151" i="7"/>
  <c r="AI151" i="7"/>
  <c r="AH151" i="7"/>
  <c r="AF151" i="7"/>
  <c r="AE151" i="7"/>
  <c r="AD151" i="7"/>
  <c r="AC151" i="7"/>
  <c r="AB151" i="7"/>
  <c r="X151" i="7"/>
  <c r="L151" i="7"/>
  <c r="BD151" i="7" s="1"/>
  <c r="J151" i="7"/>
  <c r="BU149" i="7"/>
  <c r="BH149" i="7"/>
  <c r="BB149" i="7"/>
  <c r="AN149" i="7"/>
  <c r="AM149" i="7"/>
  <c r="BF149" i="7" s="1"/>
  <c r="Z149" i="7" s="1"/>
  <c r="AI149" i="7"/>
  <c r="AH149" i="7"/>
  <c r="AF149" i="7"/>
  <c r="AE149" i="7"/>
  <c r="AD149" i="7"/>
  <c r="AC149" i="7"/>
  <c r="AB149" i="7"/>
  <c r="X149" i="7"/>
  <c r="L149" i="7"/>
  <c r="BD149" i="7" s="1"/>
  <c r="J149" i="7"/>
  <c r="BU147" i="7"/>
  <c r="BH147" i="7"/>
  <c r="BB147" i="7"/>
  <c r="AN147" i="7"/>
  <c r="BG147" i="7" s="1"/>
  <c r="AA147" i="7" s="1"/>
  <c r="AM147" i="7"/>
  <c r="BF147" i="7" s="1"/>
  <c r="AI147" i="7"/>
  <c r="AH147" i="7"/>
  <c r="AF147" i="7"/>
  <c r="AE147" i="7"/>
  <c r="AD147" i="7"/>
  <c r="AC147" i="7"/>
  <c r="AB147" i="7"/>
  <c r="Z147" i="7"/>
  <c r="X147" i="7"/>
  <c r="L147" i="7"/>
  <c r="BD147" i="7" s="1"/>
  <c r="J147" i="7"/>
  <c r="H147" i="7"/>
  <c r="BU145" i="7"/>
  <c r="BH145" i="7"/>
  <c r="BD145" i="7"/>
  <c r="BB145" i="7"/>
  <c r="AN145" i="7"/>
  <c r="BG145" i="7" s="1"/>
  <c r="AM145" i="7"/>
  <c r="AI145" i="7"/>
  <c r="AH145" i="7"/>
  <c r="AF145" i="7"/>
  <c r="AE145" i="7"/>
  <c r="AD145" i="7"/>
  <c r="AC145" i="7"/>
  <c r="AB145" i="7"/>
  <c r="AA145" i="7"/>
  <c r="X145" i="7"/>
  <c r="L145" i="7"/>
  <c r="J145" i="7"/>
  <c r="I145" i="7"/>
  <c r="BU143" i="7"/>
  <c r="BH143" i="7"/>
  <c r="BB143" i="7"/>
  <c r="AN143" i="7"/>
  <c r="AM143" i="7"/>
  <c r="AI143" i="7"/>
  <c r="AH143" i="7"/>
  <c r="AF143" i="7"/>
  <c r="AE143" i="7"/>
  <c r="AD143" i="7"/>
  <c r="AC143" i="7"/>
  <c r="AB143" i="7"/>
  <c r="X143" i="7"/>
  <c r="L143" i="7"/>
  <c r="BD143" i="7" s="1"/>
  <c r="J143" i="7"/>
  <c r="BU141" i="7"/>
  <c r="BH141" i="7"/>
  <c r="BB141" i="7"/>
  <c r="AN141" i="7"/>
  <c r="AM141" i="7"/>
  <c r="BF141" i="7" s="1"/>
  <c r="Z141" i="7" s="1"/>
  <c r="AI141" i="7"/>
  <c r="AH141" i="7"/>
  <c r="AF141" i="7"/>
  <c r="AE141" i="7"/>
  <c r="AD141" i="7"/>
  <c r="AC141" i="7"/>
  <c r="AB141" i="7"/>
  <c r="X141" i="7"/>
  <c r="L141" i="7"/>
  <c r="J141" i="7"/>
  <c r="H141" i="7"/>
  <c r="BU138" i="7"/>
  <c r="BH138" i="7"/>
  <c r="BD138" i="7"/>
  <c r="BB138" i="7"/>
  <c r="AN138" i="7"/>
  <c r="BG138" i="7" s="1"/>
  <c r="AM138" i="7"/>
  <c r="AI138" i="7"/>
  <c r="AH138" i="7"/>
  <c r="AF138" i="7"/>
  <c r="AE138" i="7"/>
  <c r="AD138" i="7"/>
  <c r="AC138" i="7"/>
  <c r="AB138" i="7"/>
  <c r="AA138" i="7"/>
  <c r="X138" i="7"/>
  <c r="L138" i="7"/>
  <c r="J138" i="7"/>
  <c r="I138" i="7"/>
  <c r="BU136" i="7"/>
  <c r="BH136" i="7"/>
  <c r="BB136" i="7"/>
  <c r="AN136" i="7"/>
  <c r="AM136" i="7"/>
  <c r="AI136" i="7"/>
  <c r="AH136" i="7"/>
  <c r="AF136" i="7"/>
  <c r="AE136" i="7"/>
  <c r="AD136" i="7"/>
  <c r="AC136" i="7"/>
  <c r="AB136" i="7"/>
  <c r="X136" i="7"/>
  <c r="L136" i="7"/>
  <c r="BD136" i="7" s="1"/>
  <c r="J136" i="7"/>
  <c r="BU134" i="7"/>
  <c r="BH134" i="7"/>
  <c r="BB134" i="7"/>
  <c r="AN134" i="7"/>
  <c r="I134" i="7" s="1"/>
  <c r="AM134" i="7"/>
  <c r="BF134" i="7" s="1"/>
  <c r="AI134" i="7"/>
  <c r="AH134" i="7"/>
  <c r="AF134" i="7"/>
  <c r="AE134" i="7"/>
  <c r="AD134" i="7"/>
  <c r="AC134" i="7"/>
  <c r="AB134" i="7"/>
  <c r="Z134" i="7"/>
  <c r="X134" i="7"/>
  <c r="L134" i="7"/>
  <c r="BD134" i="7" s="1"/>
  <c r="J134" i="7"/>
  <c r="BU132" i="7"/>
  <c r="BH132" i="7"/>
  <c r="BB132" i="7"/>
  <c r="AN132" i="7"/>
  <c r="AV132" i="7" s="1"/>
  <c r="AM132" i="7"/>
  <c r="BF132" i="7" s="1"/>
  <c r="Z132" i="7" s="1"/>
  <c r="AI132" i="7"/>
  <c r="AH132" i="7"/>
  <c r="AF132" i="7"/>
  <c r="AE132" i="7"/>
  <c r="AD132" i="7"/>
  <c r="AC132" i="7"/>
  <c r="AB132" i="7"/>
  <c r="X132" i="7"/>
  <c r="L132" i="7"/>
  <c r="BD132" i="7" s="1"/>
  <c r="J132" i="7"/>
  <c r="AJ132" i="7" s="1"/>
  <c r="I132" i="7"/>
  <c r="H132" i="7"/>
  <c r="L131" i="7"/>
  <c r="BU129" i="7"/>
  <c r="BH129" i="7"/>
  <c r="BB129" i="7"/>
  <c r="AN129" i="7"/>
  <c r="BG129" i="7" s="1"/>
  <c r="AA129" i="7" s="1"/>
  <c r="AM129" i="7"/>
  <c r="AU129" i="7" s="1"/>
  <c r="AI129" i="7"/>
  <c r="AH129" i="7"/>
  <c r="AF129" i="7"/>
  <c r="AE129" i="7"/>
  <c r="AD129" i="7"/>
  <c r="AC129" i="7"/>
  <c r="AB129" i="7"/>
  <c r="X129" i="7"/>
  <c r="L129" i="7"/>
  <c r="BD129" i="7" s="1"/>
  <c r="J129" i="7"/>
  <c r="AJ129" i="7" s="1"/>
  <c r="I129" i="7"/>
  <c r="H129" i="7"/>
  <c r="BU127" i="7"/>
  <c r="BH127" i="7"/>
  <c r="BB127" i="7"/>
  <c r="AN127" i="7"/>
  <c r="AM127" i="7"/>
  <c r="AU127" i="7" s="1"/>
  <c r="AI127" i="7"/>
  <c r="AH127" i="7"/>
  <c r="AF127" i="7"/>
  <c r="AE127" i="7"/>
  <c r="AD127" i="7"/>
  <c r="AC127" i="7"/>
  <c r="AB127" i="7"/>
  <c r="X127" i="7"/>
  <c r="L127" i="7"/>
  <c r="BD127" i="7" s="1"/>
  <c r="J127" i="7"/>
  <c r="AJ127" i="7" s="1"/>
  <c r="I127" i="7"/>
  <c r="H127" i="7"/>
  <c r="BU125" i="7"/>
  <c r="BH125" i="7"/>
  <c r="BB125" i="7"/>
  <c r="AV125" i="7"/>
  <c r="AN125" i="7"/>
  <c r="BG125" i="7" s="1"/>
  <c r="AA125" i="7" s="1"/>
  <c r="AM125" i="7"/>
  <c r="AU125" i="7" s="1"/>
  <c r="AI125" i="7"/>
  <c r="AH125" i="7"/>
  <c r="AF125" i="7"/>
  <c r="AE125" i="7"/>
  <c r="AD125" i="7"/>
  <c r="AC125" i="7"/>
  <c r="AB125" i="7"/>
  <c r="X125" i="7"/>
  <c r="L125" i="7"/>
  <c r="BD125" i="7" s="1"/>
  <c r="J125" i="7"/>
  <c r="AJ125" i="7" s="1"/>
  <c r="I125" i="7"/>
  <c r="H125" i="7"/>
  <c r="BU123" i="7"/>
  <c r="BH123" i="7"/>
  <c r="BB123" i="7"/>
  <c r="AN123" i="7"/>
  <c r="AM123" i="7"/>
  <c r="AU123" i="7" s="1"/>
  <c r="AI123" i="7"/>
  <c r="AH123" i="7"/>
  <c r="AF123" i="7"/>
  <c r="AE123" i="7"/>
  <c r="AD123" i="7"/>
  <c r="AC123" i="7"/>
  <c r="AB123" i="7"/>
  <c r="X123" i="7"/>
  <c r="L123" i="7"/>
  <c r="BD123" i="7" s="1"/>
  <c r="J123" i="7"/>
  <c r="AJ123" i="7" s="1"/>
  <c r="I123" i="7"/>
  <c r="H123" i="7"/>
  <c r="BU121" i="7"/>
  <c r="BH121" i="7"/>
  <c r="BB121" i="7"/>
  <c r="AN121" i="7"/>
  <c r="BG121" i="7" s="1"/>
  <c r="AA121" i="7" s="1"/>
  <c r="AM121" i="7"/>
  <c r="AU121" i="7" s="1"/>
  <c r="AI121" i="7"/>
  <c r="AH121" i="7"/>
  <c r="AF121" i="7"/>
  <c r="AE121" i="7"/>
  <c r="AD121" i="7"/>
  <c r="AC121" i="7"/>
  <c r="AB121" i="7"/>
  <c r="X121" i="7"/>
  <c r="L121" i="7"/>
  <c r="J121" i="7"/>
  <c r="AJ121" i="7" s="1"/>
  <c r="I121" i="7"/>
  <c r="H121" i="7"/>
  <c r="BU118" i="7"/>
  <c r="BH118" i="7"/>
  <c r="BB118" i="7"/>
  <c r="AN118" i="7"/>
  <c r="BG118" i="7" s="1"/>
  <c r="AA118" i="7" s="1"/>
  <c r="AM118" i="7"/>
  <c r="AU118" i="7" s="1"/>
  <c r="AI118" i="7"/>
  <c r="AH118" i="7"/>
  <c r="AF118" i="7"/>
  <c r="AE118" i="7"/>
  <c r="AD118" i="7"/>
  <c r="AC118" i="7"/>
  <c r="AB118" i="7"/>
  <c r="X118" i="7"/>
  <c r="L118" i="7"/>
  <c r="BD118" i="7" s="1"/>
  <c r="J118" i="7"/>
  <c r="AJ118" i="7" s="1"/>
  <c r="I118" i="7"/>
  <c r="H118" i="7"/>
  <c r="BU116" i="7"/>
  <c r="BH116" i="7"/>
  <c r="BB116" i="7"/>
  <c r="AN116" i="7"/>
  <c r="AM116" i="7"/>
  <c r="AU116" i="7" s="1"/>
  <c r="AI116" i="7"/>
  <c r="AH116" i="7"/>
  <c r="AF116" i="7"/>
  <c r="AE116" i="7"/>
  <c r="AD116" i="7"/>
  <c r="AC116" i="7"/>
  <c r="AB116" i="7"/>
  <c r="X116" i="7"/>
  <c r="L116" i="7"/>
  <c r="BD116" i="7" s="1"/>
  <c r="J116" i="7"/>
  <c r="AJ116" i="7" s="1"/>
  <c r="I116" i="7"/>
  <c r="H116" i="7"/>
  <c r="BU114" i="7"/>
  <c r="BH114" i="7"/>
  <c r="BB114" i="7"/>
  <c r="AV114" i="7"/>
  <c r="AN114" i="7"/>
  <c r="BG114" i="7" s="1"/>
  <c r="AA114" i="7" s="1"/>
  <c r="AM114" i="7"/>
  <c r="BF114" i="7" s="1"/>
  <c r="Z114" i="7" s="1"/>
  <c r="AI114" i="7"/>
  <c r="AH114" i="7"/>
  <c r="AF114" i="7"/>
  <c r="AE114" i="7"/>
  <c r="AD114" i="7"/>
  <c r="AC114" i="7"/>
  <c r="AB114" i="7"/>
  <c r="X114" i="7"/>
  <c r="L114" i="7"/>
  <c r="BD114" i="7" s="1"/>
  <c r="J114" i="7"/>
  <c r="AJ114" i="7" s="1"/>
  <c r="I114" i="7"/>
  <c r="BU112" i="7"/>
  <c r="BH112" i="7"/>
  <c r="BB112" i="7"/>
  <c r="AN112" i="7"/>
  <c r="BG112" i="7" s="1"/>
  <c r="AA112" i="7" s="1"/>
  <c r="AM112" i="7"/>
  <c r="AJ112" i="7"/>
  <c r="AI112" i="7"/>
  <c r="AH112" i="7"/>
  <c r="AF112" i="7"/>
  <c r="AE112" i="7"/>
  <c r="AD112" i="7"/>
  <c r="AC112" i="7"/>
  <c r="AB112" i="7"/>
  <c r="X112" i="7"/>
  <c r="L112" i="7"/>
  <c r="BD112" i="7" s="1"/>
  <c r="J112" i="7"/>
  <c r="BU110" i="7"/>
  <c r="BH110" i="7"/>
  <c r="BB110" i="7"/>
  <c r="AN110" i="7"/>
  <c r="AV110" i="7" s="1"/>
  <c r="AM110" i="7"/>
  <c r="AU110" i="7" s="1"/>
  <c r="AI110" i="7"/>
  <c r="AH110" i="7"/>
  <c r="AF110" i="7"/>
  <c r="AE110" i="7"/>
  <c r="AD110" i="7"/>
  <c r="AC110" i="7"/>
  <c r="AB110" i="7"/>
  <c r="X110" i="7"/>
  <c r="L110" i="7"/>
  <c r="BD110" i="7" s="1"/>
  <c r="J110" i="7"/>
  <c r="AJ110" i="7" s="1"/>
  <c r="BU108" i="7"/>
  <c r="BH108" i="7"/>
  <c r="BB108" i="7"/>
  <c r="AN108" i="7"/>
  <c r="BG108" i="7" s="1"/>
  <c r="AA108" i="7" s="1"/>
  <c r="AM108" i="7"/>
  <c r="AU108" i="7" s="1"/>
  <c r="AI108" i="7"/>
  <c r="AH108" i="7"/>
  <c r="AF108" i="7"/>
  <c r="AE108" i="7"/>
  <c r="AD108" i="7"/>
  <c r="AC108" i="7"/>
  <c r="AB108" i="7"/>
  <c r="X108" i="7"/>
  <c r="L108" i="7"/>
  <c r="BD108" i="7" s="1"/>
  <c r="J108" i="7"/>
  <c r="AJ108" i="7" s="1"/>
  <c r="H108" i="7"/>
  <c r="BU106" i="7"/>
  <c r="BH106" i="7"/>
  <c r="BB106" i="7"/>
  <c r="AN106" i="7"/>
  <c r="AM106" i="7"/>
  <c r="AU106" i="7" s="1"/>
  <c r="AI106" i="7"/>
  <c r="AH106" i="7"/>
  <c r="AF106" i="7"/>
  <c r="AE106" i="7"/>
  <c r="AD106" i="7"/>
  <c r="AC106" i="7"/>
  <c r="AB106" i="7"/>
  <c r="X106" i="7"/>
  <c r="L106" i="7"/>
  <c r="BD106" i="7" s="1"/>
  <c r="J106" i="7"/>
  <c r="AJ106" i="7" s="1"/>
  <c r="H106" i="7"/>
  <c r="BU104" i="7"/>
  <c r="BH104" i="7"/>
  <c r="BB104" i="7"/>
  <c r="AV104" i="7"/>
  <c r="AN104" i="7"/>
  <c r="BG104" i="7" s="1"/>
  <c r="AA104" i="7" s="1"/>
  <c r="AM104" i="7"/>
  <c r="AI104" i="7"/>
  <c r="AH104" i="7"/>
  <c r="AF104" i="7"/>
  <c r="AE104" i="7"/>
  <c r="AD104" i="7"/>
  <c r="AC104" i="7"/>
  <c r="AB104" i="7"/>
  <c r="X104" i="7"/>
  <c r="L104" i="7"/>
  <c r="BD104" i="7" s="1"/>
  <c r="J104" i="7"/>
  <c r="I104" i="7"/>
  <c r="BU102" i="7"/>
  <c r="BH102" i="7"/>
  <c r="BB102" i="7"/>
  <c r="AN102" i="7"/>
  <c r="BG102" i="7" s="1"/>
  <c r="AA102" i="7" s="1"/>
  <c r="AM102" i="7"/>
  <c r="AU102" i="7" s="1"/>
  <c r="AI102" i="7"/>
  <c r="AH102" i="7"/>
  <c r="AF102" i="7"/>
  <c r="AE102" i="7"/>
  <c r="AD102" i="7"/>
  <c r="AC102" i="7"/>
  <c r="AB102" i="7"/>
  <c r="X102" i="7"/>
  <c r="L102" i="7"/>
  <c r="BD102" i="7" s="1"/>
  <c r="J102" i="7"/>
  <c r="AJ102" i="7" s="1"/>
  <c r="BU99" i="7"/>
  <c r="BH99" i="7"/>
  <c r="BB99" i="7"/>
  <c r="AN99" i="7"/>
  <c r="AM99" i="7"/>
  <c r="AI99" i="7"/>
  <c r="AH99" i="7"/>
  <c r="AQ98" i="7" s="1"/>
  <c r="AF99" i="7"/>
  <c r="AE99" i="7"/>
  <c r="AD99" i="7"/>
  <c r="AC99" i="7"/>
  <c r="AB99" i="7"/>
  <c r="X99" i="7"/>
  <c r="L99" i="7"/>
  <c r="BD99" i="7" s="1"/>
  <c r="J99" i="7"/>
  <c r="I99" i="7"/>
  <c r="I98" i="7" s="1"/>
  <c r="AR98" i="7"/>
  <c r="L98" i="7"/>
  <c r="BU96" i="7"/>
  <c r="BH96" i="7"/>
  <c r="BB96" i="7"/>
  <c r="AN96" i="7"/>
  <c r="BG96" i="7" s="1"/>
  <c r="AA96" i="7" s="1"/>
  <c r="AM96" i="7"/>
  <c r="AU96" i="7" s="1"/>
  <c r="AI96" i="7"/>
  <c r="AH96" i="7"/>
  <c r="AF96" i="7"/>
  <c r="AE96" i="7"/>
  <c r="AD96" i="7"/>
  <c r="AC96" i="7"/>
  <c r="AB96" i="7"/>
  <c r="X96" i="7"/>
  <c r="L96" i="7"/>
  <c r="BD96" i="7" s="1"/>
  <c r="J96" i="7"/>
  <c r="I96" i="7"/>
  <c r="BU94" i="7"/>
  <c r="BH94" i="7"/>
  <c r="BB94" i="7"/>
  <c r="AV94" i="7"/>
  <c r="AN94" i="7"/>
  <c r="BG94" i="7" s="1"/>
  <c r="AA94" i="7" s="1"/>
  <c r="AM94" i="7"/>
  <c r="AU94" i="7" s="1"/>
  <c r="AI94" i="7"/>
  <c r="AH94" i="7"/>
  <c r="AF94" i="7"/>
  <c r="AE94" i="7"/>
  <c r="AD94" i="7"/>
  <c r="AC94" i="7"/>
  <c r="AB94" i="7"/>
  <c r="X94" i="7"/>
  <c r="L94" i="7"/>
  <c r="BD94" i="7" s="1"/>
  <c r="J94" i="7"/>
  <c r="AJ94" i="7" s="1"/>
  <c r="I94" i="7"/>
  <c r="I93" i="7"/>
  <c r="BU91" i="7"/>
  <c r="BH91" i="7"/>
  <c r="BB91" i="7"/>
  <c r="AN91" i="7"/>
  <c r="BG91" i="7" s="1"/>
  <c r="AA91" i="7" s="1"/>
  <c r="AM91" i="7"/>
  <c r="AI91" i="7"/>
  <c r="AH91" i="7"/>
  <c r="AF91" i="7"/>
  <c r="AE91" i="7"/>
  <c r="AD91" i="7"/>
  <c r="AC91" i="7"/>
  <c r="AB91" i="7"/>
  <c r="X91" i="7"/>
  <c r="L91" i="7"/>
  <c r="BD91" i="7" s="1"/>
  <c r="J91" i="7"/>
  <c r="AJ91" i="7" s="1"/>
  <c r="BU89" i="7"/>
  <c r="BH89" i="7"/>
  <c r="BB89" i="7"/>
  <c r="AU89" i="7"/>
  <c r="AN89" i="7"/>
  <c r="AM89" i="7"/>
  <c r="BF89" i="7" s="1"/>
  <c r="Z89" i="7" s="1"/>
  <c r="AI89" i="7"/>
  <c r="AH89" i="7"/>
  <c r="AF89" i="7"/>
  <c r="AE89" i="7"/>
  <c r="AD89" i="7"/>
  <c r="AC89" i="7"/>
  <c r="AB89" i="7"/>
  <c r="X89" i="7"/>
  <c r="L89" i="7"/>
  <c r="J89" i="7"/>
  <c r="AJ89" i="7" s="1"/>
  <c r="H89" i="7"/>
  <c r="BU86" i="7"/>
  <c r="BH86" i="7"/>
  <c r="BB86" i="7"/>
  <c r="AN86" i="7"/>
  <c r="AM86" i="7"/>
  <c r="AI86" i="7"/>
  <c r="AH86" i="7"/>
  <c r="AF86" i="7"/>
  <c r="AE86" i="7"/>
  <c r="AD86" i="7"/>
  <c r="AC86" i="7"/>
  <c r="AB86" i="7"/>
  <c r="X86" i="7"/>
  <c r="L86" i="7"/>
  <c r="BD86" i="7" s="1"/>
  <c r="J86" i="7"/>
  <c r="AJ86" i="7" s="1"/>
  <c r="BU84" i="7"/>
  <c r="BH84" i="7"/>
  <c r="BB84" i="7"/>
  <c r="AN84" i="7"/>
  <c r="AM84" i="7"/>
  <c r="AU84" i="7" s="1"/>
  <c r="AI84" i="7"/>
  <c r="AR83" i="7" s="1"/>
  <c r="AH84" i="7"/>
  <c r="AF84" i="7"/>
  <c r="AE84" i="7"/>
  <c r="AD84" i="7"/>
  <c r="AC84" i="7"/>
  <c r="AB84" i="7"/>
  <c r="X84" i="7"/>
  <c r="L84" i="7"/>
  <c r="BD84" i="7" s="1"/>
  <c r="J84" i="7"/>
  <c r="BU81" i="7"/>
  <c r="BH81" i="7"/>
  <c r="BB81" i="7"/>
  <c r="AN81" i="7"/>
  <c r="BG81" i="7" s="1"/>
  <c r="AA81" i="7" s="1"/>
  <c r="AM81" i="7"/>
  <c r="AI81" i="7"/>
  <c r="AH81" i="7"/>
  <c r="AF81" i="7"/>
  <c r="AE81" i="7"/>
  <c r="AD81" i="7"/>
  <c r="AC81" i="7"/>
  <c r="AB81" i="7"/>
  <c r="X81" i="7"/>
  <c r="L81" i="7"/>
  <c r="BD81" i="7" s="1"/>
  <c r="J81" i="7"/>
  <c r="AJ81" i="7" s="1"/>
  <c r="AS80" i="7" s="1"/>
  <c r="I81" i="7"/>
  <c r="I80" i="7" s="1"/>
  <c r="AR80" i="7"/>
  <c r="AQ80" i="7"/>
  <c r="L80" i="7"/>
  <c r="BU78" i="7"/>
  <c r="BH78" i="7"/>
  <c r="BB78" i="7"/>
  <c r="AN78" i="7"/>
  <c r="BG78" i="7" s="1"/>
  <c r="AA78" i="7" s="1"/>
  <c r="AM78" i="7"/>
  <c r="AU78" i="7" s="1"/>
  <c r="AI78" i="7"/>
  <c r="AH78" i="7"/>
  <c r="AF78" i="7"/>
  <c r="AE78" i="7"/>
  <c r="AD78" i="7"/>
  <c r="AC78" i="7"/>
  <c r="AB78" i="7"/>
  <c r="X78" i="7"/>
  <c r="L78" i="7"/>
  <c r="BD78" i="7" s="1"/>
  <c r="J78" i="7"/>
  <c r="AJ78" i="7" s="1"/>
  <c r="I78" i="7"/>
  <c r="BU77" i="7"/>
  <c r="BH77" i="7"/>
  <c r="BB77" i="7"/>
  <c r="AN77" i="7"/>
  <c r="BG77" i="7" s="1"/>
  <c r="AA77" i="7" s="1"/>
  <c r="AM77" i="7"/>
  <c r="AU77" i="7" s="1"/>
  <c r="AI77" i="7"/>
  <c r="AH77" i="7"/>
  <c r="AQ74" i="7" s="1"/>
  <c r="AF77" i="7"/>
  <c r="AE77" i="7"/>
  <c r="AD77" i="7"/>
  <c r="AC77" i="7"/>
  <c r="AB77" i="7"/>
  <c r="X77" i="7"/>
  <c r="L77" i="7"/>
  <c r="J77" i="7"/>
  <c r="AJ77" i="7" s="1"/>
  <c r="BU75" i="7"/>
  <c r="BH75" i="7"/>
  <c r="BB75" i="7"/>
  <c r="AN75" i="7"/>
  <c r="BG75" i="7" s="1"/>
  <c r="AA75" i="7" s="1"/>
  <c r="AM75" i="7"/>
  <c r="AI75" i="7"/>
  <c r="AH75" i="7"/>
  <c r="AF75" i="7"/>
  <c r="AE75" i="7"/>
  <c r="AD75" i="7"/>
  <c r="AC75" i="7"/>
  <c r="AB75" i="7"/>
  <c r="X75" i="7"/>
  <c r="L75" i="7"/>
  <c r="BD75" i="7" s="1"/>
  <c r="J75" i="7"/>
  <c r="AJ75" i="7" s="1"/>
  <c r="I75" i="7"/>
  <c r="BU72" i="7"/>
  <c r="BH72" i="7"/>
  <c r="BB72" i="7"/>
  <c r="AN72" i="7"/>
  <c r="AM72" i="7"/>
  <c r="AU72" i="7" s="1"/>
  <c r="AI72" i="7"/>
  <c r="AH72" i="7"/>
  <c r="AF72" i="7"/>
  <c r="AE72" i="7"/>
  <c r="AD72" i="7"/>
  <c r="AC72" i="7"/>
  <c r="AB72" i="7"/>
  <c r="X72" i="7"/>
  <c r="L72" i="7"/>
  <c r="BD72" i="7" s="1"/>
  <c r="J72" i="7"/>
  <c r="AJ72" i="7" s="1"/>
  <c r="BU70" i="7"/>
  <c r="BH70" i="7"/>
  <c r="BB70" i="7"/>
  <c r="AN70" i="7"/>
  <c r="BG70" i="7" s="1"/>
  <c r="AA70" i="7" s="1"/>
  <c r="AM70" i="7"/>
  <c r="AU70" i="7" s="1"/>
  <c r="AI70" i="7"/>
  <c r="AH70" i="7"/>
  <c r="AF70" i="7"/>
  <c r="AE70" i="7"/>
  <c r="AD70" i="7"/>
  <c r="AC70" i="7"/>
  <c r="AB70" i="7"/>
  <c r="X70" i="7"/>
  <c r="L70" i="7"/>
  <c r="BD70" i="7" s="1"/>
  <c r="J70" i="7"/>
  <c r="AJ70" i="7" s="1"/>
  <c r="I70" i="7"/>
  <c r="BU68" i="7"/>
  <c r="BH68" i="7"/>
  <c r="BB68" i="7"/>
  <c r="AV68" i="7"/>
  <c r="AN68" i="7"/>
  <c r="BG68" i="7" s="1"/>
  <c r="AA68" i="7" s="1"/>
  <c r="AM68" i="7"/>
  <c r="AU68" i="7" s="1"/>
  <c r="AI68" i="7"/>
  <c r="AH68" i="7"/>
  <c r="AF68" i="7"/>
  <c r="AE68" i="7"/>
  <c r="AD68" i="7"/>
  <c r="AC68" i="7"/>
  <c r="AB68" i="7"/>
  <c r="X68" i="7"/>
  <c r="L68" i="7"/>
  <c r="BD68" i="7" s="1"/>
  <c r="J68" i="7"/>
  <c r="AJ68" i="7" s="1"/>
  <c r="BU66" i="7"/>
  <c r="BH66" i="7"/>
  <c r="BB66" i="7"/>
  <c r="AN66" i="7"/>
  <c r="BG66" i="7" s="1"/>
  <c r="AA66" i="7" s="1"/>
  <c r="AM66" i="7"/>
  <c r="AI66" i="7"/>
  <c r="AH66" i="7"/>
  <c r="AF66" i="7"/>
  <c r="AE66" i="7"/>
  <c r="AD66" i="7"/>
  <c r="AC66" i="7"/>
  <c r="AB66" i="7"/>
  <c r="X66" i="7"/>
  <c r="L66" i="7"/>
  <c r="BD66" i="7" s="1"/>
  <c r="J66" i="7"/>
  <c r="AJ66" i="7" s="1"/>
  <c r="I66" i="7"/>
  <c r="BU64" i="7"/>
  <c r="BH64" i="7"/>
  <c r="BB64" i="7"/>
  <c r="AN64" i="7"/>
  <c r="BG64" i="7" s="1"/>
  <c r="AA64" i="7" s="1"/>
  <c r="AM64" i="7"/>
  <c r="AU64" i="7" s="1"/>
  <c r="AJ64" i="7"/>
  <c r="AI64" i="7"/>
  <c r="AH64" i="7"/>
  <c r="AF64" i="7"/>
  <c r="AE64" i="7"/>
  <c r="AD64" i="7"/>
  <c r="AC64" i="7"/>
  <c r="AB64" i="7"/>
  <c r="X64" i="7"/>
  <c r="L64" i="7"/>
  <c r="BD64" i="7" s="1"/>
  <c r="J64" i="7"/>
  <c r="H64" i="7"/>
  <c r="BU62" i="7"/>
  <c r="BH62" i="7"/>
  <c r="BB62" i="7"/>
  <c r="AV62" i="7"/>
  <c r="AN62" i="7"/>
  <c r="BG62" i="7" s="1"/>
  <c r="AM62" i="7"/>
  <c r="AU62" i="7" s="1"/>
  <c r="AI62" i="7"/>
  <c r="AH62" i="7"/>
  <c r="AF62" i="7"/>
  <c r="AE62" i="7"/>
  <c r="AD62" i="7"/>
  <c r="AC62" i="7"/>
  <c r="AB62" i="7"/>
  <c r="AA62" i="7"/>
  <c r="X62" i="7"/>
  <c r="L62" i="7"/>
  <c r="BD62" i="7" s="1"/>
  <c r="J62" i="7"/>
  <c r="AJ62" i="7" s="1"/>
  <c r="I62" i="7"/>
  <c r="BU60" i="7"/>
  <c r="BH60" i="7"/>
  <c r="BB60" i="7"/>
  <c r="AN60" i="7"/>
  <c r="AM60" i="7"/>
  <c r="BF60" i="7" s="1"/>
  <c r="Z60" i="7" s="1"/>
  <c r="AI60" i="7"/>
  <c r="AH60" i="7"/>
  <c r="AF60" i="7"/>
  <c r="AE60" i="7"/>
  <c r="AD60" i="7"/>
  <c r="AC60" i="7"/>
  <c r="AB60" i="7"/>
  <c r="X60" i="7"/>
  <c r="L60" i="7"/>
  <c r="BD60" i="7" s="1"/>
  <c r="J60" i="7"/>
  <c r="AJ60" i="7" s="1"/>
  <c r="BU58" i="7"/>
  <c r="BH58" i="7"/>
  <c r="BB58" i="7"/>
  <c r="AN58" i="7"/>
  <c r="BG58" i="7" s="1"/>
  <c r="AA58" i="7" s="1"/>
  <c r="AM58" i="7"/>
  <c r="BF58" i="7" s="1"/>
  <c r="Z58" i="7" s="1"/>
  <c r="AI58" i="7"/>
  <c r="AH58" i="7"/>
  <c r="AF58" i="7"/>
  <c r="AE58" i="7"/>
  <c r="AD58" i="7"/>
  <c r="AC58" i="7"/>
  <c r="AB58" i="7"/>
  <c r="X58" i="7"/>
  <c r="L58" i="7"/>
  <c r="BD58" i="7" s="1"/>
  <c r="J58" i="7"/>
  <c r="AJ58" i="7" s="1"/>
  <c r="BU55" i="7"/>
  <c r="BH55" i="7"/>
  <c r="BB55" i="7"/>
  <c r="AN55" i="7"/>
  <c r="BG55" i="7" s="1"/>
  <c r="AM55" i="7"/>
  <c r="BF55" i="7" s="1"/>
  <c r="Z55" i="7" s="1"/>
  <c r="AI55" i="7"/>
  <c r="AR52" i="7" s="1"/>
  <c r="AH55" i="7"/>
  <c r="AF55" i="7"/>
  <c r="AE55" i="7"/>
  <c r="AD55" i="7"/>
  <c r="AC55" i="7"/>
  <c r="AB55" i="7"/>
  <c r="AA55" i="7"/>
  <c r="X55" i="7"/>
  <c r="L55" i="7"/>
  <c r="BD55" i="7" s="1"/>
  <c r="J55" i="7"/>
  <c r="AJ55" i="7" s="1"/>
  <c r="I55" i="7"/>
  <c r="BU53" i="7"/>
  <c r="BH53" i="7"/>
  <c r="BB53" i="7"/>
  <c r="AN53" i="7"/>
  <c r="BG53" i="7" s="1"/>
  <c r="AA53" i="7" s="1"/>
  <c r="AM53" i="7"/>
  <c r="BF53" i="7" s="1"/>
  <c r="Z53" i="7" s="1"/>
  <c r="AJ53" i="7"/>
  <c r="AI53" i="7"/>
  <c r="AH53" i="7"/>
  <c r="AF53" i="7"/>
  <c r="AE53" i="7"/>
  <c r="AD53" i="7"/>
  <c r="AC53" i="7"/>
  <c r="AB53" i="7"/>
  <c r="X53" i="7"/>
  <c r="L53" i="7"/>
  <c r="BD53" i="7" s="1"/>
  <c r="J53" i="7"/>
  <c r="AQ52" i="7"/>
  <c r="L52" i="7"/>
  <c r="J52" i="7"/>
  <c r="BU50" i="7"/>
  <c r="BH50" i="7"/>
  <c r="BB50" i="7"/>
  <c r="AN50" i="7"/>
  <c r="BG50" i="7" s="1"/>
  <c r="AA50" i="7" s="1"/>
  <c r="AM50" i="7"/>
  <c r="BF50" i="7" s="1"/>
  <c r="Z50" i="7" s="1"/>
  <c r="AJ50" i="7"/>
  <c r="AI50" i="7"/>
  <c r="AH50" i="7"/>
  <c r="AF50" i="7"/>
  <c r="AE50" i="7"/>
  <c r="AD50" i="7"/>
  <c r="AC50" i="7"/>
  <c r="AB50" i="7"/>
  <c r="X50" i="7"/>
  <c r="L50" i="7"/>
  <c r="BD50" i="7" s="1"/>
  <c r="J50" i="7"/>
  <c r="BU48" i="7"/>
  <c r="BH48" i="7"/>
  <c r="BB48" i="7"/>
  <c r="AN48" i="7"/>
  <c r="AM48" i="7"/>
  <c r="BF48" i="7" s="1"/>
  <c r="Z48" i="7" s="1"/>
  <c r="AI48" i="7"/>
  <c r="AH48" i="7"/>
  <c r="AF48" i="7"/>
  <c r="AE48" i="7"/>
  <c r="AD48" i="7"/>
  <c r="AC48" i="7"/>
  <c r="AB48" i="7"/>
  <c r="X48" i="7"/>
  <c r="L48" i="7"/>
  <c r="BD48" i="7" s="1"/>
  <c r="J48" i="7"/>
  <c r="AJ48" i="7" s="1"/>
  <c r="BU46" i="7"/>
  <c r="BH46" i="7"/>
  <c r="BB46" i="7"/>
  <c r="AN46" i="7"/>
  <c r="AM46" i="7"/>
  <c r="BF46" i="7" s="1"/>
  <c r="Z46" i="7" s="1"/>
  <c r="AI46" i="7"/>
  <c r="AH46" i="7"/>
  <c r="AF46" i="7"/>
  <c r="AE46" i="7"/>
  <c r="AD46" i="7"/>
  <c r="AC46" i="7"/>
  <c r="AB46" i="7"/>
  <c r="X46" i="7"/>
  <c r="L46" i="7"/>
  <c r="BD46" i="7" s="1"/>
  <c r="J46" i="7"/>
  <c r="AJ46" i="7" s="1"/>
  <c r="BU44" i="7"/>
  <c r="BH44" i="7"/>
  <c r="BB44" i="7"/>
  <c r="AN44" i="7"/>
  <c r="BG44" i="7" s="1"/>
  <c r="AA44" i="7" s="1"/>
  <c r="AM44" i="7"/>
  <c r="BF44" i="7" s="1"/>
  <c r="Z44" i="7" s="1"/>
  <c r="AJ44" i="7"/>
  <c r="AI44" i="7"/>
  <c r="AH44" i="7"/>
  <c r="AF44" i="7"/>
  <c r="AE44" i="7"/>
  <c r="AD44" i="7"/>
  <c r="AC44" i="7"/>
  <c r="AB44" i="7"/>
  <c r="X44" i="7"/>
  <c r="L44" i="7"/>
  <c r="BD44" i="7" s="1"/>
  <c r="J44" i="7"/>
  <c r="BU42" i="7"/>
  <c r="BH42" i="7"/>
  <c r="BB42" i="7"/>
  <c r="AV42" i="7"/>
  <c r="AN42" i="7"/>
  <c r="BG42" i="7" s="1"/>
  <c r="AM42" i="7"/>
  <c r="BF42" i="7" s="1"/>
  <c r="Z42" i="7" s="1"/>
  <c r="AI42" i="7"/>
  <c r="AH42" i="7"/>
  <c r="AF42" i="7"/>
  <c r="AE42" i="7"/>
  <c r="AD42" i="7"/>
  <c r="AC42" i="7"/>
  <c r="AB42" i="7"/>
  <c r="AA42" i="7"/>
  <c r="X42" i="7"/>
  <c r="L42" i="7"/>
  <c r="BD42" i="7" s="1"/>
  <c r="J42" i="7"/>
  <c r="AJ42" i="7" s="1"/>
  <c r="I42" i="7"/>
  <c r="BU40" i="7"/>
  <c r="BH40" i="7"/>
  <c r="BB40" i="7"/>
  <c r="AN40" i="7"/>
  <c r="AM40" i="7"/>
  <c r="BF40" i="7" s="1"/>
  <c r="Z40" i="7" s="1"/>
  <c r="AI40" i="7"/>
  <c r="AH40" i="7"/>
  <c r="AF40" i="7"/>
  <c r="AE40" i="7"/>
  <c r="AD40" i="7"/>
  <c r="AC40" i="7"/>
  <c r="AB40" i="7"/>
  <c r="X40" i="7"/>
  <c r="L40" i="7"/>
  <c r="BD40" i="7" s="1"/>
  <c r="J40" i="7"/>
  <c r="AJ40" i="7" s="1"/>
  <c r="BU38" i="7"/>
  <c r="BH38" i="7"/>
  <c r="BB38" i="7"/>
  <c r="AN38" i="7"/>
  <c r="AM38" i="7"/>
  <c r="BF38" i="7" s="1"/>
  <c r="Z38" i="7" s="1"/>
  <c r="AI38" i="7"/>
  <c r="AH38" i="7"/>
  <c r="AF38" i="7"/>
  <c r="AE38" i="7"/>
  <c r="AD38" i="7"/>
  <c r="AC38" i="7"/>
  <c r="AB38" i="7"/>
  <c r="X38" i="7"/>
  <c r="L38" i="7"/>
  <c r="BD38" i="7" s="1"/>
  <c r="J38" i="7"/>
  <c r="AQ37" i="7"/>
  <c r="L37" i="7"/>
  <c r="BU35" i="7"/>
  <c r="BH35" i="7"/>
  <c r="BB35" i="7"/>
  <c r="AN35" i="7"/>
  <c r="AM35" i="7"/>
  <c r="BF35" i="7" s="1"/>
  <c r="Z35" i="7" s="1"/>
  <c r="AI35" i="7"/>
  <c r="AH35" i="7"/>
  <c r="AQ32" i="7" s="1"/>
  <c r="AF35" i="7"/>
  <c r="AE35" i="7"/>
  <c r="AD35" i="7"/>
  <c r="AC35" i="7"/>
  <c r="AB35" i="7"/>
  <c r="X35" i="7"/>
  <c r="L35" i="7"/>
  <c r="BD35" i="7" s="1"/>
  <c r="J35" i="7"/>
  <c r="AJ35" i="7" s="1"/>
  <c r="BU33" i="7"/>
  <c r="BH33" i="7"/>
  <c r="BB33" i="7"/>
  <c r="AN33" i="7"/>
  <c r="BG33" i="7" s="1"/>
  <c r="AA33" i="7" s="1"/>
  <c r="AM33" i="7"/>
  <c r="BF33" i="7" s="1"/>
  <c r="Z33" i="7" s="1"/>
  <c r="AI33" i="7"/>
  <c r="AH33" i="7"/>
  <c r="AF33" i="7"/>
  <c r="AE33" i="7"/>
  <c r="AD33" i="7"/>
  <c r="AC33" i="7"/>
  <c r="AB33" i="7"/>
  <c r="X33" i="7"/>
  <c r="L33" i="7"/>
  <c r="BD33" i="7" s="1"/>
  <c r="J33" i="7"/>
  <c r="AJ33" i="7" s="1"/>
  <c r="AS32" i="7" s="1"/>
  <c r="AR32" i="7"/>
  <c r="L32" i="7"/>
  <c r="J32" i="7"/>
  <c r="BU30" i="7"/>
  <c r="BH30" i="7"/>
  <c r="BB30" i="7"/>
  <c r="AN30" i="7"/>
  <c r="BG30" i="7" s="1"/>
  <c r="AA30" i="7" s="1"/>
  <c r="AM30" i="7"/>
  <c r="AI30" i="7"/>
  <c r="AH30" i="7"/>
  <c r="AF30" i="7"/>
  <c r="AE30" i="7"/>
  <c r="AD30" i="7"/>
  <c r="AC30" i="7"/>
  <c r="AB30" i="7"/>
  <c r="X30" i="7"/>
  <c r="L30" i="7"/>
  <c r="BD30" i="7" s="1"/>
  <c r="J30" i="7"/>
  <c r="AJ30" i="7" s="1"/>
  <c r="H30" i="7"/>
  <c r="BU28" i="7"/>
  <c r="BH28" i="7"/>
  <c r="BF28" i="7"/>
  <c r="Z28" i="7" s="1"/>
  <c r="BB28" i="7"/>
  <c r="AN28" i="7"/>
  <c r="AV28" i="7" s="1"/>
  <c r="AM28" i="7"/>
  <c r="AU28" i="7" s="1"/>
  <c r="AJ28" i="7"/>
  <c r="AI28" i="7"/>
  <c r="AH28" i="7"/>
  <c r="AF28" i="7"/>
  <c r="AE28" i="7"/>
  <c r="AD28" i="7"/>
  <c r="AC28" i="7"/>
  <c r="AB28" i="7"/>
  <c r="X28" i="7"/>
  <c r="L28" i="7"/>
  <c r="BD28" i="7" s="1"/>
  <c r="J28" i="7"/>
  <c r="BU26" i="7"/>
  <c r="BH26" i="7"/>
  <c r="BB26" i="7"/>
  <c r="AU26" i="7"/>
  <c r="AN26" i="7"/>
  <c r="BG26" i="7" s="1"/>
  <c r="AA26" i="7" s="1"/>
  <c r="AM26" i="7"/>
  <c r="BF26" i="7" s="1"/>
  <c r="Z26" i="7" s="1"/>
  <c r="AI26" i="7"/>
  <c r="AH26" i="7"/>
  <c r="AF26" i="7"/>
  <c r="AE26" i="7"/>
  <c r="AD26" i="7"/>
  <c r="AC26" i="7"/>
  <c r="AB26" i="7"/>
  <c r="X26" i="7"/>
  <c r="L26" i="7"/>
  <c r="J26" i="7"/>
  <c r="AJ26" i="7" s="1"/>
  <c r="H26" i="7"/>
  <c r="BU24" i="7"/>
  <c r="BH24" i="7"/>
  <c r="BB24" i="7"/>
  <c r="AN24" i="7"/>
  <c r="BG24" i="7" s="1"/>
  <c r="AA24" i="7" s="1"/>
  <c r="AM24" i="7"/>
  <c r="AU24" i="7" s="1"/>
  <c r="AI24" i="7"/>
  <c r="AH24" i="7"/>
  <c r="AF24" i="7"/>
  <c r="AE24" i="7"/>
  <c r="AD24" i="7"/>
  <c r="AC24" i="7"/>
  <c r="AB24" i="7"/>
  <c r="X24" i="7"/>
  <c r="L24" i="7"/>
  <c r="BD24" i="7" s="1"/>
  <c r="J24" i="7"/>
  <c r="I24" i="7"/>
  <c r="BU22" i="7"/>
  <c r="BH22" i="7"/>
  <c r="BB22" i="7"/>
  <c r="AN22" i="7"/>
  <c r="BG22" i="7" s="1"/>
  <c r="AA22" i="7" s="1"/>
  <c r="AM22" i="7"/>
  <c r="BF22" i="7" s="1"/>
  <c r="Z22" i="7" s="1"/>
  <c r="AI22" i="7"/>
  <c r="AH22" i="7"/>
  <c r="AF22" i="7"/>
  <c r="AE22" i="7"/>
  <c r="AD22" i="7"/>
  <c r="AC22" i="7"/>
  <c r="AB22" i="7"/>
  <c r="X22" i="7"/>
  <c r="L22" i="7"/>
  <c r="BD22" i="7" s="1"/>
  <c r="J22" i="7"/>
  <c r="AJ22" i="7" s="1"/>
  <c r="I22" i="7"/>
  <c r="H22" i="7"/>
  <c r="BU20" i="7"/>
  <c r="BH20" i="7"/>
  <c r="BD20" i="7"/>
  <c r="BB20" i="7"/>
  <c r="AN20" i="7"/>
  <c r="BG20" i="7" s="1"/>
  <c r="AA20" i="7" s="1"/>
  <c r="AM20" i="7"/>
  <c r="AI20" i="7"/>
  <c r="AH20" i="7"/>
  <c r="AF20" i="7"/>
  <c r="AE20" i="7"/>
  <c r="AD20" i="7"/>
  <c r="AC20" i="7"/>
  <c r="AB20" i="7"/>
  <c r="X20" i="7"/>
  <c r="L20" i="7"/>
  <c r="J20" i="7"/>
  <c r="AJ20" i="7" s="1"/>
  <c r="I20" i="7"/>
  <c r="H20" i="7"/>
  <c r="BU18" i="7"/>
  <c r="BH18" i="7"/>
  <c r="BB18" i="7"/>
  <c r="AN18" i="7"/>
  <c r="BG18" i="7" s="1"/>
  <c r="AA18" i="7" s="1"/>
  <c r="AM18" i="7"/>
  <c r="AI18" i="7"/>
  <c r="AR15" i="7" s="1"/>
  <c r="AH18" i="7"/>
  <c r="AF18" i="7"/>
  <c r="AE18" i="7"/>
  <c r="AD18" i="7"/>
  <c r="AC18" i="7"/>
  <c r="AB18" i="7"/>
  <c r="X18" i="7"/>
  <c r="L18" i="7"/>
  <c r="BD18" i="7" s="1"/>
  <c r="J18" i="7"/>
  <c r="AJ18" i="7" s="1"/>
  <c r="I18" i="7"/>
  <c r="H18" i="7"/>
  <c r="BU16" i="7"/>
  <c r="BH16" i="7"/>
  <c r="BB16" i="7"/>
  <c r="AU16" i="7"/>
  <c r="AN16" i="7"/>
  <c r="BG16" i="7" s="1"/>
  <c r="AA16" i="7" s="1"/>
  <c r="AM16" i="7"/>
  <c r="BF16" i="7" s="1"/>
  <c r="Z16" i="7" s="1"/>
  <c r="AI16" i="7"/>
  <c r="AH16" i="7"/>
  <c r="AF16" i="7"/>
  <c r="AE16" i="7"/>
  <c r="AD16" i="7"/>
  <c r="AC16" i="7"/>
  <c r="AB16" i="7"/>
  <c r="X16" i="7"/>
  <c r="L16" i="7"/>
  <c r="BD16" i="7" s="1"/>
  <c r="J16" i="7"/>
  <c r="AJ16" i="7" s="1"/>
  <c r="I16" i="7"/>
  <c r="H16" i="7"/>
  <c r="BU13" i="7"/>
  <c r="BH13" i="7"/>
  <c r="BB13" i="7"/>
  <c r="AN13" i="7"/>
  <c r="BG13" i="7" s="1"/>
  <c r="AA13" i="7" s="1"/>
  <c r="AM13" i="7"/>
  <c r="AI13" i="7"/>
  <c r="AH13" i="7"/>
  <c r="AF13" i="7"/>
  <c r="AE13" i="7"/>
  <c r="AD13" i="7"/>
  <c r="AC13" i="7"/>
  <c r="AB13" i="7"/>
  <c r="X13" i="7"/>
  <c r="L13" i="7"/>
  <c r="L12" i="7" s="1"/>
  <c r="J13" i="7"/>
  <c r="AJ13" i="7" s="1"/>
  <c r="AS12" i="7" s="1"/>
  <c r="I13" i="7"/>
  <c r="I12" i="7" s="1"/>
  <c r="H13" i="7"/>
  <c r="H12" i="7" s="1"/>
  <c r="AR12" i="7"/>
  <c r="AQ12" i="7"/>
  <c r="J12" i="7"/>
  <c r="AS1" i="7"/>
  <c r="AR1" i="7"/>
  <c r="AQ1" i="7"/>
  <c r="BU210" i="6"/>
  <c r="BH210" i="6"/>
  <c r="AF210" i="6" s="1"/>
  <c r="BB210" i="6"/>
  <c r="AN210" i="6"/>
  <c r="BG210" i="6" s="1"/>
  <c r="AM210" i="6"/>
  <c r="BF210" i="6" s="1"/>
  <c r="AI210" i="6"/>
  <c r="AH210" i="6"/>
  <c r="AE210" i="6"/>
  <c r="AD210" i="6"/>
  <c r="AC210" i="6"/>
  <c r="AB210" i="6"/>
  <c r="AA210" i="6"/>
  <c r="Z210" i="6"/>
  <c r="X210" i="6"/>
  <c r="L210" i="6"/>
  <c r="BD210" i="6" s="1"/>
  <c r="J210" i="6"/>
  <c r="AJ210" i="6" s="1"/>
  <c r="H210" i="6"/>
  <c r="BU208" i="6"/>
  <c r="BH208" i="6"/>
  <c r="AF208" i="6" s="1"/>
  <c r="BB208" i="6"/>
  <c r="AV208" i="6"/>
  <c r="AN208" i="6"/>
  <c r="BG208" i="6" s="1"/>
  <c r="AM208" i="6"/>
  <c r="AI208" i="6"/>
  <c r="AH208" i="6"/>
  <c r="AE208" i="6"/>
  <c r="AD208" i="6"/>
  <c r="AC208" i="6"/>
  <c r="AB208" i="6"/>
  <c r="AA208" i="6"/>
  <c r="Z208" i="6"/>
  <c r="X208" i="6"/>
  <c r="L208" i="6"/>
  <c r="BD208" i="6" s="1"/>
  <c r="J208" i="6"/>
  <c r="AJ208" i="6" s="1"/>
  <c r="I208" i="6"/>
  <c r="BU206" i="6"/>
  <c r="BH206" i="6"/>
  <c r="AF206" i="6" s="1"/>
  <c r="BD206" i="6"/>
  <c r="BB206" i="6"/>
  <c r="AU206" i="6"/>
  <c r="AN206" i="6"/>
  <c r="BG206" i="6" s="1"/>
  <c r="AM206" i="6"/>
  <c r="BF206" i="6" s="1"/>
  <c r="AJ206" i="6"/>
  <c r="AI206" i="6"/>
  <c r="AH206" i="6"/>
  <c r="AE206" i="6"/>
  <c r="AD206" i="6"/>
  <c r="AC206" i="6"/>
  <c r="AB206" i="6"/>
  <c r="AA206" i="6"/>
  <c r="Z206" i="6"/>
  <c r="X206" i="6"/>
  <c r="L206" i="6"/>
  <c r="J206" i="6"/>
  <c r="I206" i="6"/>
  <c r="H206" i="6"/>
  <c r="BU204" i="6"/>
  <c r="BH204" i="6"/>
  <c r="AF204" i="6" s="1"/>
  <c r="BB204" i="6"/>
  <c r="AU204" i="6"/>
  <c r="AN204" i="6"/>
  <c r="BG204" i="6" s="1"/>
  <c r="AM204" i="6"/>
  <c r="BF204" i="6" s="1"/>
  <c r="AI204" i="6"/>
  <c r="AH204" i="6"/>
  <c r="AE204" i="6"/>
  <c r="AD204" i="6"/>
  <c r="AC204" i="6"/>
  <c r="AB204" i="6"/>
  <c r="AA204" i="6"/>
  <c r="Z204" i="6"/>
  <c r="X204" i="6"/>
  <c r="L204" i="6"/>
  <c r="BD204" i="6" s="1"/>
  <c r="J204" i="6"/>
  <c r="AJ204" i="6" s="1"/>
  <c r="I204" i="6"/>
  <c r="H204" i="6"/>
  <c r="BU203" i="6"/>
  <c r="BH203" i="6"/>
  <c r="BB203" i="6"/>
  <c r="AN203" i="6"/>
  <c r="BG203" i="6" s="1"/>
  <c r="AM203" i="6"/>
  <c r="BF203" i="6" s="1"/>
  <c r="AI203" i="6"/>
  <c r="AH203" i="6"/>
  <c r="AF203" i="6"/>
  <c r="AE203" i="6"/>
  <c r="AD203" i="6"/>
  <c r="AC203" i="6"/>
  <c r="AB203" i="6"/>
  <c r="AA203" i="6"/>
  <c r="Z203" i="6"/>
  <c r="X203" i="6"/>
  <c r="L203" i="6"/>
  <c r="BD203" i="6" s="1"/>
  <c r="J203" i="6"/>
  <c r="AJ203" i="6" s="1"/>
  <c r="H203" i="6"/>
  <c r="BU202" i="6"/>
  <c r="BH202" i="6"/>
  <c r="AF202" i="6" s="1"/>
  <c r="BB202" i="6"/>
  <c r="AN202" i="6"/>
  <c r="BG202" i="6" s="1"/>
  <c r="AM202" i="6"/>
  <c r="AI202" i="6"/>
  <c r="AH202" i="6"/>
  <c r="AE202" i="6"/>
  <c r="AD202" i="6"/>
  <c r="AC202" i="6"/>
  <c r="AB202" i="6"/>
  <c r="AA202" i="6"/>
  <c r="Z202" i="6"/>
  <c r="X202" i="6"/>
  <c r="L202" i="6"/>
  <c r="BD202" i="6" s="1"/>
  <c r="J202" i="6"/>
  <c r="AJ202" i="6" s="1"/>
  <c r="BU200" i="6"/>
  <c r="BH200" i="6"/>
  <c r="AF200" i="6" s="1"/>
  <c r="BD200" i="6"/>
  <c r="BB200" i="6"/>
  <c r="AN200" i="6"/>
  <c r="BG200" i="6" s="1"/>
  <c r="AM200" i="6"/>
  <c r="AI200" i="6"/>
  <c r="AH200" i="6"/>
  <c r="AE200" i="6"/>
  <c r="AD200" i="6"/>
  <c r="AC200" i="6"/>
  <c r="AB200" i="6"/>
  <c r="AA200" i="6"/>
  <c r="Z200" i="6"/>
  <c r="X200" i="6"/>
  <c r="L200" i="6"/>
  <c r="J200" i="6"/>
  <c r="AJ200" i="6" s="1"/>
  <c r="I200" i="6"/>
  <c r="BU199" i="6"/>
  <c r="BH199" i="6"/>
  <c r="AF199" i="6" s="1"/>
  <c r="BB199" i="6"/>
  <c r="AN199" i="6"/>
  <c r="BG199" i="6" s="1"/>
  <c r="AM199" i="6"/>
  <c r="BF199" i="6" s="1"/>
  <c r="AI199" i="6"/>
  <c r="AH199" i="6"/>
  <c r="AE199" i="6"/>
  <c r="AD199" i="6"/>
  <c r="AC199" i="6"/>
  <c r="AB199" i="6"/>
  <c r="AA199" i="6"/>
  <c r="Z199" i="6"/>
  <c r="X199" i="6"/>
  <c r="L199" i="6"/>
  <c r="BD199" i="6" s="1"/>
  <c r="J199" i="6"/>
  <c r="AJ199" i="6" s="1"/>
  <c r="H199" i="6"/>
  <c r="BU198" i="6"/>
  <c r="BH198" i="6"/>
  <c r="BB198" i="6"/>
  <c r="AN198" i="6"/>
  <c r="BG198" i="6" s="1"/>
  <c r="AM198" i="6"/>
  <c r="BF198" i="6" s="1"/>
  <c r="AI198" i="6"/>
  <c r="AH198" i="6"/>
  <c r="AF198" i="6"/>
  <c r="AE198" i="6"/>
  <c r="AD198" i="6"/>
  <c r="AC198" i="6"/>
  <c r="AB198" i="6"/>
  <c r="AA198" i="6"/>
  <c r="Z198" i="6"/>
  <c r="X198" i="6"/>
  <c r="L198" i="6"/>
  <c r="BD198" i="6" s="1"/>
  <c r="J198" i="6"/>
  <c r="AJ198" i="6" s="1"/>
  <c r="BU197" i="6"/>
  <c r="BH197" i="6"/>
  <c r="AF197" i="6" s="1"/>
  <c r="BB197" i="6"/>
  <c r="AN197" i="6"/>
  <c r="I197" i="6" s="1"/>
  <c r="AM197" i="6"/>
  <c r="AI197" i="6"/>
  <c r="AH197" i="6"/>
  <c r="AE197" i="6"/>
  <c r="AD197" i="6"/>
  <c r="AC197" i="6"/>
  <c r="AB197" i="6"/>
  <c r="AA197" i="6"/>
  <c r="Z197" i="6"/>
  <c r="X197" i="6"/>
  <c r="L197" i="6"/>
  <c r="BD197" i="6" s="1"/>
  <c r="J197" i="6"/>
  <c r="AJ197" i="6" s="1"/>
  <c r="BU196" i="6"/>
  <c r="BH196" i="6"/>
  <c r="AF196" i="6" s="1"/>
  <c r="BD196" i="6"/>
  <c r="BB196" i="6"/>
  <c r="AN196" i="6"/>
  <c r="BG196" i="6" s="1"/>
  <c r="AM196" i="6"/>
  <c r="AI196" i="6"/>
  <c r="AH196" i="6"/>
  <c r="AE196" i="6"/>
  <c r="AD196" i="6"/>
  <c r="AC196" i="6"/>
  <c r="AB196" i="6"/>
  <c r="AA196" i="6"/>
  <c r="Z196" i="6"/>
  <c r="X196" i="6"/>
  <c r="L196" i="6"/>
  <c r="J196" i="6"/>
  <c r="AJ196" i="6" s="1"/>
  <c r="I196" i="6"/>
  <c r="BU195" i="6"/>
  <c r="BH195" i="6"/>
  <c r="AF195" i="6" s="1"/>
  <c r="BD195" i="6"/>
  <c r="BB195" i="6"/>
  <c r="AN195" i="6"/>
  <c r="BG195" i="6" s="1"/>
  <c r="AM195" i="6"/>
  <c r="BF195" i="6" s="1"/>
  <c r="AI195" i="6"/>
  <c r="AH195" i="6"/>
  <c r="AE195" i="6"/>
  <c r="AD195" i="6"/>
  <c r="AC195" i="6"/>
  <c r="AB195" i="6"/>
  <c r="AA195" i="6"/>
  <c r="Z195" i="6"/>
  <c r="X195" i="6"/>
  <c r="L195" i="6"/>
  <c r="J195" i="6"/>
  <c r="AJ195" i="6" s="1"/>
  <c r="I195" i="6"/>
  <c r="H195" i="6"/>
  <c r="BU194" i="6"/>
  <c r="BH194" i="6"/>
  <c r="BB194" i="6"/>
  <c r="AN194" i="6"/>
  <c r="AM194" i="6"/>
  <c r="BF194" i="6" s="1"/>
  <c r="AI194" i="6"/>
  <c r="AH194" i="6"/>
  <c r="AF194" i="6"/>
  <c r="AE194" i="6"/>
  <c r="AD194" i="6"/>
  <c r="AC194" i="6"/>
  <c r="AB194" i="6"/>
  <c r="AA194" i="6"/>
  <c r="Z194" i="6"/>
  <c r="X194" i="6"/>
  <c r="L194" i="6"/>
  <c r="BD194" i="6" s="1"/>
  <c r="J194" i="6"/>
  <c r="AJ194" i="6" s="1"/>
  <c r="BU193" i="6"/>
  <c r="BH193" i="6"/>
  <c r="AF193" i="6" s="1"/>
  <c r="BB193" i="6"/>
  <c r="AN193" i="6"/>
  <c r="I193" i="6" s="1"/>
  <c r="AM193" i="6"/>
  <c r="AI193" i="6"/>
  <c r="AH193" i="6"/>
  <c r="AE193" i="6"/>
  <c r="AD193" i="6"/>
  <c r="AC193" i="6"/>
  <c r="AB193" i="6"/>
  <c r="AA193" i="6"/>
  <c r="Z193" i="6"/>
  <c r="X193" i="6"/>
  <c r="L193" i="6"/>
  <c r="BD193" i="6" s="1"/>
  <c r="J193" i="6"/>
  <c r="AJ193" i="6" s="1"/>
  <c r="BU191" i="6"/>
  <c r="BH191" i="6"/>
  <c r="AF191" i="6" s="1"/>
  <c r="BD191" i="6"/>
  <c r="BB191" i="6"/>
  <c r="AN191" i="6"/>
  <c r="BG191" i="6" s="1"/>
  <c r="AM191" i="6"/>
  <c r="AI191" i="6"/>
  <c r="AH191" i="6"/>
  <c r="AE191" i="6"/>
  <c r="AD191" i="6"/>
  <c r="AC191" i="6"/>
  <c r="AB191" i="6"/>
  <c r="AA191" i="6"/>
  <c r="Z191" i="6"/>
  <c r="X191" i="6"/>
  <c r="L191" i="6"/>
  <c r="J191" i="6"/>
  <c r="AJ191" i="6" s="1"/>
  <c r="BU190" i="6"/>
  <c r="BH190" i="6"/>
  <c r="AF190" i="6" s="1"/>
  <c r="BD190" i="6"/>
  <c r="BB190" i="6"/>
  <c r="AN190" i="6"/>
  <c r="BG190" i="6" s="1"/>
  <c r="AM190" i="6"/>
  <c r="AI190" i="6"/>
  <c r="AH190" i="6"/>
  <c r="AE190" i="6"/>
  <c r="AD190" i="6"/>
  <c r="AC190" i="6"/>
  <c r="AB190" i="6"/>
  <c r="AA190" i="6"/>
  <c r="Z190" i="6"/>
  <c r="X190" i="6"/>
  <c r="L190" i="6"/>
  <c r="J190" i="6"/>
  <c r="AJ190" i="6" s="1"/>
  <c r="I190" i="6"/>
  <c r="BU189" i="6"/>
  <c r="BH189" i="6"/>
  <c r="AF189" i="6" s="1"/>
  <c r="BG189" i="6"/>
  <c r="BB189" i="6"/>
  <c r="AN189" i="6"/>
  <c r="AM189" i="6"/>
  <c r="BF189" i="6" s="1"/>
  <c r="AI189" i="6"/>
  <c r="AH189" i="6"/>
  <c r="AE189" i="6"/>
  <c r="AD189" i="6"/>
  <c r="AC189" i="6"/>
  <c r="AB189" i="6"/>
  <c r="AA189" i="6"/>
  <c r="Z189" i="6"/>
  <c r="X189" i="6"/>
  <c r="L189" i="6"/>
  <c r="BD189" i="6" s="1"/>
  <c r="J189" i="6"/>
  <c r="AJ189" i="6" s="1"/>
  <c r="H189" i="6"/>
  <c r="BU188" i="6"/>
  <c r="BH188" i="6"/>
  <c r="BB188" i="6"/>
  <c r="AV188" i="6"/>
  <c r="AN188" i="6"/>
  <c r="I188" i="6" s="1"/>
  <c r="AM188" i="6"/>
  <c r="AI188" i="6"/>
  <c r="AH188" i="6"/>
  <c r="AF188" i="6"/>
  <c r="AE188" i="6"/>
  <c r="AD188" i="6"/>
  <c r="AC188" i="6"/>
  <c r="AB188" i="6"/>
  <c r="AA188" i="6"/>
  <c r="Z188" i="6"/>
  <c r="X188" i="6"/>
  <c r="L188" i="6"/>
  <c r="BD188" i="6" s="1"/>
  <c r="J188" i="6"/>
  <c r="AJ188" i="6" s="1"/>
  <c r="BU187" i="6"/>
  <c r="BH187" i="6"/>
  <c r="AF187" i="6" s="1"/>
  <c r="BD187" i="6"/>
  <c r="BB187" i="6"/>
  <c r="AV187" i="6"/>
  <c r="AU187" i="6"/>
  <c r="AN187" i="6"/>
  <c r="BG187" i="6" s="1"/>
  <c r="AM187" i="6"/>
  <c r="H187" i="6" s="1"/>
  <c r="AI187" i="6"/>
  <c r="AH187" i="6"/>
  <c r="AE187" i="6"/>
  <c r="AD187" i="6"/>
  <c r="AC187" i="6"/>
  <c r="AB187" i="6"/>
  <c r="AA187" i="6"/>
  <c r="Z187" i="6"/>
  <c r="X187" i="6"/>
  <c r="L187" i="6"/>
  <c r="J187" i="6"/>
  <c r="AJ187" i="6" s="1"/>
  <c r="BU186" i="6"/>
  <c r="BH186" i="6"/>
  <c r="AF186" i="6" s="1"/>
  <c r="BB186" i="6"/>
  <c r="AN186" i="6"/>
  <c r="BG186" i="6" s="1"/>
  <c r="AM186" i="6"/>
  <c r="AI186" i="6"/>
  <c r="AH186" i="6"/>
  <c r="AE186" i="6"/>
  <c r="AD186" i="6"/>
  <c r="AC186" i="6"/>
  <c r="AB186" i="6"/>
  <c r="AA186" i="6"/>
  <c r="Z186" i="6"/>
  <c r="X186" i="6"/>
  <c r="L186" i="6"/>
  <c r="BD186" i="6" s="1"/>
  <c r="J186" i="6"/>
  <c r="AJ186" i="6" s="1"/>
  <c r="I186" i="6"/>
  <c r="BU185" i="6"/>
  <c r="BH185" i="6"/>
  <c r="AF185" i="6" s="1"/>
  <c r="BG185" i="6"/>
  <c r="BB185" i="6"/>
  <c r="AN185" i="6"/>
  <c r="AM185" i="6"/>
  <c r="BF185" i="6" s="1"/>
  <c r="AI185" i="6"/>
  <c r="AH185" i="6"/>
  <c r="AE185" i="6"/>
  <c r="AD185" i="6"/>
  <c r="AC185" i="6"/>
  <c r="AB185" i="6"/>
  <c r="AA185" i="6"/>
  <c r="Z185" i="6"/>
  <c r="X185" i="6"/>
  <c r="L185" i="6"/>
  <c r="BD185" i="6" s="1"/>
  <c r="J185" i="6"/>
  <c r="AJ185" i="6" s="1"/>
  <c r="H185" i="6"/>
  <c r="BU184" i="6"/>
  <c r="BH184" i="6"/>
  <c r="BB184" i="6"/>
  <c r="AV184" i="6"/>
  <c r="AN184" i="6"/>
  <c r="I184" i="6" s="1"/>
  <c r="AM184" i="6"/>
  <c r="AI184" i="6"/>
  <c r="AH184" i="6"/>
  <c r="AF184" i="6"/>
  <c r="AE184" i="6"/>
  <c r="AD184" i="6"/>
  <c r="AC184" i="6"/>
  <c r="AB184" i="6"/>
  <c r="AA184" i="6"/>
  <c r="Z184" i="6"/>
  <c r="X184" i="6"/>
  <c r="L184" i="6"/>
  <c r="BD184" i="6" s="1"/>
  <c r="J184" i="6"/>
  <c r="AJ184" i="6" s="1"/>
  <c r="BU183" i="6"/>
  <c r="BH183" i="6"/>
  <c r="AF183" i="6" s="1"/>
  <c r="BD183" i="6"/>
  <c r="BB183" i="6"/>
  <c r="AV183" i="6"/>
  <c r="AU183" i="6"/>
  <c r="AN183" i="6"/>
  <c r="BG183" i="6" s="1"/>
  <c r="AM183" i="6"/>
  <c r="H183" i="6" s="1"/>
  <c r="AI183" i="6"/>
  <c r="AH183" i="6"/>
  <c r="AE183" i="6"/>
  <c r="AD183" i="6"/>
  <c r="AC183" i="6"/>
  <c r="AB183" i="6"/>
  <c r="AA183" i="6"/>
  <c r="Z183" i="6"/>
  <c r="X183" i="6"/>
  <c r="L183" i="6"/>
  <c r="J183" i="6"/>
  <c r="AJ183" i="6" s="1"/>
  <c r="BU182" i="6"/>
  <c r="BH182" i="6"/>
  <c r="AF182" i="6" s="1"/>
  <c r="BD182" i="6"/>
  <c r="BB182" i="6"/>
  <c r="AU182" i="6"/>
  <c r="AN182" i="6"/>
  <c r="AM182" i="6"/>
  <c r="BF182" i="6" s="1"/>
  <c r="AI182" i="6"/>
  <c r="AH182" i="6"/>
  <c r="AE182" i="6"/>
  <c r="AD182" i="6"/>
  <c r="AC182" i="6"/>
  <c r="AB182" i="6"/>
  <c r="AA182" i="6"/>
  <c r="Z182" i="6"/>
  <c r="X182" i="6"/>
  <c r="L182" i="6"/>
  <c r="J182" i="6"/>
  <c r="AJ182" i="6" s="1"/>
  <c r="BU181" i="6"/>
  <c r="BH181" i="6"/>
  <c r="AF181" i="6" s="1"/>
  <c r="BB181" i="6"/>
  <c r="AN181" i="6"/>
  <c r="BG181" i="6" s="1"/>
  <c r="AM181" i="6"/>
  <c r="BF181" i="6" s="1"/>
  <c r="AI181" i="6"/>
  <c r="AH181" i="6"/>
  <c r="AE181" i="6"/>
  <c r="AD181" i="6"/>
  <c r="AC181" i="6"/>
  <c r="AB181" i="6"/>
  <c r="AA181" i="6"/>
  <c r="Z181" i="6"/>
  <c r="X181" i="6"/>
  <c r="L181" i="6"/>
  <c r="BD181" i="6" s="1"/>
  <c r="J181" i="6"/>
  <c r="AJ181" i="6" s="1"/>
  <c r="H181" i="6"/>
  <c r="BU180" i="6"/>
  <c r="BH180" i="6"/>
  <c r="BB180" i="6"/>
  <c r="AV180" i="6"/>
  <c r="AN180" i="6"/>
  <c r="I180" i="6" s="1"/>
  <c r="AM180" i="6"/>
  <c r="AI180" i="6"/>
  <c r="AH180" i="6"/>
  <c r="AF180" i="6"/>
  <c r="AE180" i="6"/>
  <c r="AD180" i="6"/>
  <c r="AC180" i="6"/>
  <c r="AB180" i="6"/>
  <c r="AA180" i="6"/>
  <c r="Z180" i="6"/>
  <c r="X180" i="6"/>
  <c r="L180" i="6"/>
  <c r="BD180" i="6" s="1"/>
  <c r="J180" i="6"/>
  <c r="AJ180" i="6" s="1"/>
  <c r="BU179" i="6"/>
  <c r="BH179" i="6"/>
  <c r="AF179" i="6" s="1"/>
  <c r="BD179" i="6"/>
  <c r="BB179" i="6"/>
  <c r="AV179" i="6"/>
  <c r="AU179" i="6"/>
  <c r="AN179" i="6"/>
  <c r="BG179" i="6" s="1"/>
  <c r="AM179" i="6"/>
  <c r="H179" i="6" s="1"/>
  <c r="AI179" i="6"/>
  <c r="AH179" i="6"/>
  <c r="AE179" i="6"/>
  <c r="AD179" i="6"/>
  <c r="AC179" i="6"/>
  <c r="AB179" i="6"/>
  <c r="AA179" i="6"/>
  <c r="Z179" i="6"/>
  <c r="X179" i="6"/>
  <c r="L179" i="6"/>
  <c r="J179" i="6"/>
  <c r="AJ179" i="6" s="1"/>
  <c r="I179" i="6"/>
  <c r="BU178" i="6"/>
  <c r="BH178" i="6"/>
  <c r="AF178" i="6" s="1"/>
  <c r="BD178" i="6"/>
  <c r="BB178" i="6"/>
  <c r="AN178" i="6"/>
  <c r="AV178" i="6" s="1"/>
  <c r="AM178" i="6"/>
  <c r="BF178" i="6" s="1"/>
  <c r="AI178" i="6"/>
  <c r="AH178" i="6"/>
  <c r="AE178" i="6"/>
  <c r="AD178" i="6"/>
  <c r="AC178" i="6"/>
  <c r="AB178" i="6"/>
  <c r="AA178" i="6"/>
  <c r="Z178" i="6"/>
  <c r="X178" i="6"/>
  <c r="L178" i="6"/>
  <c r="J178" i="6"/>
  <c r="AJ178" i="6" s="1"/>
  <c r="H178" i="6"/>
  <c r="BU177" i="6"/>
  <c r="BH177" i="6"/>
  <c r="BF177" i="6"/>
  <c r="BB177" i="6"/>
  <c r="AN177" i="6"/>
  <c r="AM177" i="6"/>
  <c r="AU177" i="6" s="1"/>
  <c r="AI177" i="6"/>
  <c r="AH177" i="6"/>
  <c r="AF177" i="6"/>
  <c r="AE177" i="6"/>
  <c r="AD177" i="6"/>
  <c r="AC177" i="6"/>
  <c r="AB177" i="6"/>
  <c r="AA177" i="6"/>
  <c r="Z177" i="6"/>
  <c r="X177" i="6"/>
  <c r="L177" i="6"/>
  <c r="BD177" i="6" s="1"/>
  <c r="J177" i="6"/>
  <c r="AJ177" i="6" s="1"/>
  <c r="H177" i="6"/>
  <c r="BU176" i="6"/>
  <c r="BH176" i="6"/>
  <c r="AF176" i="6" s="1"/>
  <c r="BB176" i="6"/>
  <c r="AN176" i="6"/>
  <c r="I176" i="6" s="1"/>
  <c r="AM176" i="6"/>
  <c r="H176" i="6" s="1"/>
  <c r="AI176" i="6"/>
  <c r="AH176" i="6"/>
  <c r="AE176" i="6"/>
  <c r="AD176" i="6"/>
  <c r="AC176" i="6"/>
  <c r="AB176" i="6"/>
  <c r="AA176" i="6"/>
  <c r="Z176" i="6"/>
  <c r="X176" i="6"/>
  <c r="L176" i="6"/>
  <c r="BD176" i="6" s="1"/>
  <c r="J176" i="6"/>
  <c r="AJ176" i="6" s="1"/>
  <c r="BU175" i="6"/>
  <c r="BH175" i="6"/>
  <c r="AF175" i="6" s="1"/>
  <c r="BD175" i="6"/>
  <c r="BB175" i="6"/>
  <c r="AN175" i="6"/>
  <c r="BG175" i="6" s="1"/>
  <c r="AM175" i="6"/>
  <c r="AI175" i="6"/>
  <c r="AH175" i="6"/>
  <c r="AE175" i="6"/>
  <c r="AD175" i="6"/>
  <c r="AC175" i="6"/>
  <c r="AB175" i="6"/>
  <c r="AA175" i="6"/>
  <c r="Z175" i="6"/>
  <c r="X175" i="6"/>
  <c r="L175" i="6"/>
  <c r="J175" i="6"/>
  <c r="AJ175" i="6" s="1"/>
  <c r="BU174" i="6"/>
  <c r="BH174" i="6"/>
  <c r="AF174" i="6" s="1"/>
  <c r="BD174" i="6"/>
  <c r="BB174" i="6"/>
  <c r="AU174" i="6"/>
  <c r="BA174" i="6" s="1"/>
  <c r="AT174" i="6"/>
  <c r="AN174" i="6"/>
  <c r="AV174" i="6" s="1"/>
  <c r="AM174" i="6"/>
  <c r="BF174" i="6" s="1"/>
  <c r="AI174" i="6"/>
  <c r="AH174" i="6"/>
  <c r="AE174" i="6"/>
  <c r="AD174" i="6"/>
  <c r="AC174" i="6"/>
  <c r="AB174" i="6"/>
  <c r="AA174" i="6"/>
  <c r="Z174" i="6"/>
  <c r="X174" i="6"/>
  <c r="L174" i="6"/>
  <c r="J174" i="6"/>
  <c r="AJ174" i="6" s="1"/>
  <c r="I174" i="6"/>
  <c r="H174" i="6"/>
  <c r="BU173" i="6"/>
  <c r="BH173" i="6"/>
  <c r="BG173" i="6"/>
  <c r="BB173" i="6"/>
  <c r="AV173" i="6"/>
  <c r="AN173" i="6"/>
  <c r="AM173" i="6"/>
  <c r="AI173" i="6"/>
  <c r="AH173" i="6"/>
  <c r="AF173" i="6"/>
  <c r="AE173" i="6"/>
  <c r="AD173" i="6"/>
  <c r="AC173" i="6"/>
  <c r="AB173" i="6"/>
  <c r="AA173" i="6"/>
  <c r="Z173" i="6"/>
  <c r="X173" i="6"/>
  <c r="L173" i="6"/>
  <c r="J173" i="6"/>
  <c r="AJ173" i="6" s="1"/>
  <c r="I173" i="6"/>
  <c r="BU171" i="6"/>
  <c r="BH171" i="6"/>
  <c r="BD171" i="6"/>
  <c r="BB171" i="6"/>
  <c r="AU171" i="6"/>
  <c r="AN171" i="6"/>
  <c r="I171" i="6" s="1"/>
  <c r="AM171" i="6"/>
  <c r="BF171" i="6" s="1"/>
  <c r="AI171" i="6"/>
  <c r="AH171" i="6"/>
  <c r="AQ170" i="6" s="1"/>
  <c r="AF171" i="6"/>
  <c r="AE171" i="6"/>
  <c r="AD171" i="6"/>
  <c r="AC171" i="6"/>
  <c r="AB171" i="6"/>
  <c r="AA171" i="6"/>
  <c r="Z171" i="6"/>
  <c r="X171" i="6"/>
  <c r="L171" i="6"/>
  <c r="J171" i="6"/>
  <c r="H171" i="6"/>
  <c r="BU168" i="6"/>
  <c r="BH168" i="6"/>
  <c r="BD168" i="6"/>
  <c r="BB168" i="6"/>
  <c r="AU168" i="6"/>
  <c r="AN168" i="6"/>
  <c r="AM168" i="6"/>
  <c r="BF168" i="6" s="1"/>
  <c r="AD168" i="6" s="1"/>
  <c r="AI168" i="6"/>
  <c r="AH168" i="6"/>
  <c r="AF168" i="6"/>
  <c r="AC168" i="6"/>
  <c r="AB168" i="6"/>
  <c r="AA168" i="6"/>
  <c r="Z168" i="6"/>
  <c r="X168" i="6"/>
  <c r="L168" i="6"/>
  <c r="J168" i="6"/>
  <c r="AJ168" i="6" s="1"/>
  <c r="BU166" i="6"/>
  <c r="BH166" i="6"/>
  <c r="BB166" i="6"/>
  <c r="AN166" i="6"/>
  <c r="BG166" i="6" s="1"/>
  <c r="AE166" i="6" s="1"/>
  <c r="AM166" i="6"/>
  <c r="AI166" i="6"/>
  <c r="AH166" i="6"/>
  <c r="AF166" i="6"/>
  <c r="AC166" i="6"/>
  <c r="AB166" i="6"/>
  <c r="AA166" i="6"/>
  <c r="Z166" i="6"/>
  <c r="X166" i="6"/>
  <c r="L166" i="6"/>
  <c r="J166" i="6"/>
  <c r="AJ166" i="6" s="1"/>
  <c r="I166" i="6"/>
  <c r="BU164" i="6"/>
  <c r="BH164" i="6"/>
  <c r="BD164" i="6"/>
  <c r="BB164" i="6"/>
  <c r="AU164" i="6"/>
  <c r="AN164" i="6"/>
  <c r="I164" i="6" s="1"/>
  <c r="AM164" i="6"/>
  <c r="BF164" i="6" s="1"/>
  <c r="AD164" i="6" s="1"/>
  <c r="AI164" i="6"/>
  <c r="AR163" i="6" s="1"/>
  <c r="AH164" i="6"/>
  <c r="AF164" i="6"/>
  <c r="AC164" i="6"/>
  <c r="AB164" i="6"/>
  <c r="AA164" i="6"/>
  <c r="Z164" i="6"/>
  <c r="X164" i="6"/>
  <c r="L164" i="6"/>
  <c r="J164" i="6"/>
  <c r="H164" i="6"/>
  <c r="BU161" i="6"/>
  <c r="BH161" i="6"/>
  <c r="BD161" i="6"/>
  <c r="BB161" i="6"/>
  <c r="AN161" i="6"/>
  <c r="AM161" i="6"/>
  <c r="AI161" i="6"/>
  <c r="AH161" i="6"/>
  <c r="AQ160" i="6" s="1"/>
  <c r="AF161" i="6"/>
  <c r="AC161" i="6"/>
  <c r="AB161" i="6"/>
  <c r="AA161" i="6"/>
  <c r="Z161" i="6"/>
  <c r="X161" i="6"/>
  <c r="L161" i="6"/>
  <c r="J161" i="6"/>
  <c r="J160" i="6" s="1"/>
  <c r="AR160" i="6"/>
  <c r="L160" i="6"/>
  <c r="BU158" i="6"/>
  <c r="BH158" i="6"/>
  <c r="BD158" i="6"/>
  <c r="BB158" i="6"/>
  <c r="AN158" i="6"/>
  <c r="I158" i="6" s="1"/>
  <c r="I157" i="6" s="1"/>
  <c r="AM158" i="6"/>
  <c r="AI158" i="6"/>
  <c r="AH158" i="6"/>
  <c r="AQ157" i="6" s="1"/>
  <c r="AF158" i="6"/>
  <c r="AC158" i="6"/>
  <c r="AB158" i="6"/>
  <c r="AA158" i="6"/>
  <c r="Z158" i="6"/>
  <c r="X158" i="6"/>
  <c r="L158" i="6"/>
  <c r="J158" i="6"/>
  <c r="AR157" i="6"/>
  <c r="L157" i="6"/>
  <c r="BU155" i="6"/>
  <c r="BH155" i="6"/>
  <c r="BD155" i="6"/>
  <c r="BB155" i="6"/>
  <c r="AU155" i="6"/>
  <c r="AN155" i="6"/>
  <c r="AM155" i="6"/>
  <c r="BF155" i="6" s="1"/>
  <c r="AD155" i="6" s="1"/>
  <c r="AI155" i="6"/>
  <c r="AR154" i="6" s="1"/>
  <c r="AH155" i="6"/>
  <c r="AQ154" i="6" s="1"/>
  <c r="AF155" i="6"/>
  <c r="AC155" i="6"/>
  <c r="AB155" i="6"/>
  <c r="AA155" i="6"/>
  <c r="Z155" i="6"/>
  <c r="X155" i="6"/>
  <c r="L155" i="6"/>
  <c r="J155" i="6"/>
  <c r="J154" i="6" s="1"/>
  <c r="H155" i="6"/>
  <c r="H154" i="6" s="1"/>
  <c r="L154" i="6"/>
  <c r="BU153" i="6"/>
  <c r="BH153" i="6"/>
  <c r="X153" i="6" s="1"/>
  <c r="BD153" i="6"/>
  <c r="BB153" i="6"/>
  <c r="AU153" i="6"/>
  <c r="AN153" i="6"/>
  <c r="I153" i="6" s="1"/>
  <c r="I152" i="6" s="1"/>
  <c r="AM153" i="6"/>
  <c r="BF153" i="6" s="1"/>
  <c r="AI153" i="6"/>
  <c r="AH153" i="6"/>
  <c r="AQ152" i="6" s="1"/>
  <c r="AF153" i="6"/>
  <c r="AE153" i="6"/>
  <c r="AD153" i="6"/>
  <c r="AC153" i="6"/>
  <c r="AB153" i="6"/>
  <c r="AA153" i="6"/>
  <c r="Z153" i="6"/>
  <c r="L153" i="6"/>
  <c r="J153" i="6"/>
  <c r="J152" i="6" s="1"/>
  <c r="H153" i="6"/>
  <c r="H152" i="6" s="1"/>
  <c r="AR152" i="6"/>
  <c r="L152" i="6"/>
  <c r="BU151" i="6"/>
  <c r="BH151" i="6"/>
  <c r="BD151" i="6"/>
  <c r="BB151" i="6"/>
  <c r="AN151" i="6"/>
  <c r="AM151" i="6"/>
  <c r="BF151" i="6" s="1"/>
  <c r="AI151" i="6"/>
  <c r="AR150" i="6" s="1"/>
  <c r="AH151" i="6"/>
  <c r="AQ150" i="6" s="1"/>
  <c r="AF151" i="6"/>
  <c r="AE151" i="6"/>
  <c r="AD151" i="6"/>
  <c r="AC151" i="6"/>
  <c r="AB151" i="6"/>
  <c r="AA151" i="6"/>
  <c r="Z151" i="6"/>
  <c r="X151" i="6"/>
  <c r="L151" i="6"/>
  <c r="J151" i="6"/>
  <c r="J150" i="6" s="1"/>
  <c r="H151" i="6"/>
  <c r="H150" i="6" s="1"/>
  <c r="L150" i="6"/>
  <c r="BU149" i="6"/>
  <c r="BH149" i="6"/>
  <c r="BD149" i="6"/>
  <c r="BB149" i="6"/>
  <c r="AV149" i="6"/>
  <c r="AU149" i="6"/>
  <c r="AN149" i="6"/>
  <c r="I149" i="6" s="1"/>
  <c r="AM149" i="6"/>
  <c r="BF149" i="6" s="1"/>
  <c r="AI149" i="6"/>
  <c r="AH149" i="6"/>
  <c r="AF149" i="6"/>
  <c r="AE149" i="6"/>
  <c r="AD149" i="6"/>
  <c r="AC149" i="6"/>
  <c r="AB149" i="6"/>
  <c r="AA149" i="6"/>
  <c r="Z149" i="6"/>
  <c r="X149" i="6"/>
  <c r="L149" i="6"/>
  <c r="J149" i="6"/>
  <c r="H149" i="6"/>
  <c r="BU148" i="6"/>
  <c r="BH148" i="6"/>
  <c r="X148" i="6" s="1"/>
  <c r="BB148" i="6"/>
  <c r="AN148" i="6"/>
  <c r="AM148" i="6"/>
  <c r="H148" i="6" s="1"/>
  <c r="AI148" i="6"/>
  <c r="AH148" i="6"/>
  <c r="AF148" i="6"/>
  <c r="AE148" i="6"/>
  <c r="AD148" i="6"/>
  <c r="AC148" i="6"/>
  <c r="AB148" i="6"/>
  <c r="AA148" i="6"/>
  <c r="Z148" i="6"/>
  <c r="L148" i="6"/>
  <c r="L147" i="6" s="1"/>
  <c r="J148" i="6"/>
  <c r="AJ148" i="6" s="1"/>
  <c r="BU146" i="6"/>
  <c r="BH146" i="6"/>
  <c r="X146" i="6" s="1"/>
  <c r="BB146" i="6"/>
  <c r="AN146" i="6"/>
  <c r="BG146" i="6" s="1"/>
  <c r="AM146" i="6"/>
  <c r="AI146" i="6"/>
  <c r="AH146" i="6"/>
  <c r="AF146" i="6"/>
  <c r="AE146" i="6"/>
  <c r="AD146" i="6"/>
  <c r="AC146" i="6"/>
  <c r="AB146" i="6"/>
  <c r="AA146" i="6"/>
  <c r="Z146" i="6"/>
  <c r="L146" i="6"/>
  <c r="BD146" i="6" s="1"/>
  <c r="J146" i="6"/>
  <c r="AJ146" i="6" s="1"/>
  <c r="BU144" i="6"/>
  <c r="BH144" i="6"/>
  <c r="X144" i="6" s="1"/>
  <c r="BD144" i="6"/>
  <c r="BB144" i="6"/>
  <c r="AN144" i="6"/>
  <c r="I144" i="6" s="1"/>
  <c r="AM144" i="6"/>
  <c r="AI144" i="6"/>
  <c r="AH144" i="6"/>
  <c r="AF144" i="6"/>
  <c r="AE144" i="6"/>
  <c r="AD144" i="6"/>
  <c r="AC144" i="6"/>
  <c r="AB144" i="6"/>
  <c r="AA144" i="6"/>
  <c r="Z144" i="6"/>
  <c r="L144" i="6"/>
  <c r="J144" i="6"/>
  <c r="AJ144" i="6" s="1"/>
  <c r="BU142" i="6"/>
  <c r="BH142" i="6"/>
  <c r="X142" i="6" s="1"/>
  <c r="BB142" i="6"/>
  <c r="AN142" i="6"/>
  <c r="BG142" i="6" s="1"/>
  <c r="AM142" i="6"/>
  <c r="H142" i="6" s="1"/>
  <c r="AI142" i="6"/>
  <c r="AH142" i="6"/>
  <c r="AF142" i="6"/>
  <c r="AE142" i="6"/>
  <c r="AD142" i="6"/>
  <c r="AC142" i="6"/>
  <c r="AB142" i="6"/>
  <c r="AA142" i="6"/>
  <c r="Z142" i="6"/>
  <c r="L142" i="6"/>
  <c r="BD142" i="6" s="1"/>
  <c r="J142" i="6"/>
  <c r="AJ142" i="6" s="1"/>
  <c r="I142" i="6"/>
  <c r="BU141" i="6"/>
  <c r="BH141" i="6"/>
  <c r="BD141" i="6"/>
  <c r="BB141" i="6"/>
  <c r="AN141" i="6"/>
  <c r="BG141" i="6" s="1"/>
  <c r="AM141" i="6"/>
  <c r="BF141" i="6" s="1"/>
  <c r="AI141" i="6"/>
  <c r="AH141" i="6"/>
  <c r="AQ140" i="6" s="1"/>
  <c r="AF141" i="6"/>
  <c r="AE141" i="6"/>
  <c r="AD141" i="6"/>
  <c r="AC141" i="6"/>
  <c r="AB141" i="6"/>
  <c r="AA141" i="6"/>
  <c r="Z141" i="6"/>
  <c r="X141" i="6"/>
  <c r="L141" i="6"/>
  <c r="J141" i="6"/>
  <c r="H141" i="6"/>
  <c r="L140" i="6"/>
  <c r="BU138" i="6"/>
  <c r="BH138" i="6"/>
  <c r="BB138" i="6"/>
  <c r="AN138" i="6"/>
  <c r="AM138" i="6"/>
  <c r="BF138" i="6" s="1"/>
  <c r="Z138" i="6" s="1"/>
  <c r="AI138" i="6"/>
  <c r="AR137" i="6" s="1"/>
  <c r="AH138" i="6"/>
  <c r="AQ137" i="6" s="1"/>
  <c r="AF138" i="6"/>
  <c r="AE138" i="6"/>
  <c r="AD138" i="6"/>
  <c r="AC138" i="6"/>
  <c r="AB138" i="6"/>
  <c r="X138" i="6"/>
  <c r="L138" i="6"/>
  <c r="BD138" i="6" s="1"/>
  <c r="J138" i="6"/>
  <c r="L137" i="6"/>
  <c r="BU136" i="6"/>
  <c r="BH136" i="6"/>
  <c r="BD136" i="6"/>
  <c r="BB136" i="6"/>
  <c r="AN136" i="6"/>
  <c r="AV136" i="6" s="1"/>
  <c r="AM136" i="6"/>
  <c r="AI136" i="6"/>
  <c r="AH136" i="6"/>
  <c r="AF136" i="6"/>
  <c r="AE136" i="6"/>
  <c r="AD136" i="6"/>
  <c r="AC136" i="6"/>
  <c r="AB136" i="6"/>
  <c r="X136" i="6"/>
  <c r="L136" i="6"/>
  <c r="J136" i="6"/>
  <c r="AJ136" i="6" s="1"/>
  <c r="BU134" i="6"/>
  <c r="BH134" i="6"/>
  <c r="BF134" i="6"/>
  <c r="Z134" i="6" s="1"/>
  <c r="BB134" i="6"/>
  <c r="AN134" i="6"/>
  <c r="AM134" i="6"/>
  <c r="AU134" i="6" s="1"/>
  <c r="AI134" i="6"/>
  <c r="AH134" i="6"/>
  <c r="AF134" i="6"/>
  <c r="AE134" i="6"/>
  <c r="AD134" i="6"/>
  <c r="AC134" i="6"/>
  <c r="AB134" i="6"/>
  <c r="X134" i="6"/>
  <c r="L134" i="6"/>
  <c r="BD134" i="6" s="1"/>
  <c r="J134" i="6"/>
  <c r="AJ134" i="6" s="1"/>
  <c r="H134" i="6"/>
  <c r="BU132" i="6"/>
  <c r="BH132" i="6"/>
  <c r="BD132" i="6"/>
  <c r="BB132" i="6"/>
  <c r="AN132" i="6"/>
  <c r="AM132" i="6"/>
  <c r="AI132" i="6"/>
  <c r="AH132" i="6"/>
  <c r="AF132" i="6"/>
  <c r="AE132" i="6"/>
  <c r="AD132" i="6"/>
  <c r="AC132" i="6"/>
  <c r="AB132" i="6"/>
  <c r="X132" i="6"/>
  <c r="L132" i="6"/>
  <c r="J132" i="6"/>
  <c r="AJ132" i="6" s="1"/>
  <c r="H132" i="6"/>
  <c r="BU130" i="6"/>
  <c r="BH130" i="6"/>
  <c r="BB130" i="6"/>
  <c r="AV130" i="6"/>
  <c r="AN130" i="6"/>
  <c r="I130" i="6" s="1"/>
  <c r="AM130" i="6"/>
  <c r="AI130" i="6"/>
  <c r="AH130" i="6"/>
  <c r="AF130" i="6"/>
  <c r="AE130" i="6"/>
  <c r="AD130" i="6"/>
  <c r="AC130" i="6"/>
  <c r="AB130" i="6"/>
  <c r="X130" i="6"/>
  <c r="L130" i="6"/>
  <c r="BD130" i="6" s="1"/>
  <c r="J130" i="6"/>
  <c r="AJ130" i="6" s="1"/>
  <c r="BU128" i="6"/>
  <c r="BH128" i="6"/>
  <c r="BD128" i="6"/>
  <c r="BB128" i="6"/>
  <c r="AN128" i="6"/>
  <c r="I128" i="6" s="1"/>
  <c r="AM128" i="6"/>
  <c r="AI128" i="6"/>
  <c r="AH128" i="6"/>
  <c r="AF128" i="6"/>
  <c r="AE128" i="6"/>
  <c r="AD128" i="6"/>
  <c r="AC128" i="6"/>
  <c r="AB128" i="6"/>
  <c r="X128" i="6"/>
  <c r="L128" i="6"/>
  <c r="J128" i="6"/>
  <c r="AJ128" i="6" s="1"/>
  <c r="BU126" i="6"/>
  <c r="BH126" i="6"/>
  <c r="BB126" i="6"/>
  <c r="AV126" i="6"/>
  <c r="AU126" i="6"/>
  <c r="AN126" i="6"/>
  <c r="BG126" i="6" s="1"/>
  <c r="AA126" i="6" s="1"/>
  <c r="AM126" i="6"/>
  <c r="H126" i="6" s="1"/>
  <c r="AI126" i="6"/>
  <c r="AH126" i="6"/>
  <c r="AF126" i="6"/>
  <c r="AE126" i="6"/>
  <c r="AD126" i="6"/>
  <c r="AC126" i="6"/>
  <c r="AB126" i="6"/>
  <c r="X126" i="6"/>
  <c r="L126" i="6"/>
  <c r="BD126" i="6" s="1"/>
  <c r="J126" i="6"/>
  <c r="AJ126" i="6" s="1"/>
  <c r="I126" i="6"/>
  <c r="BU124" i="6"/>
  <c r="BH124" i="6"/>
  <c r="BD124" i="6"/>
  <c r="BB124" i="6"/>
  <c r="AU124" i="6"/>
  <c r="AN124" i="6"/>
  <c r="AM124" i="6"/>
  <c r="BF124" i="6" s="1"/>
  <c r="Z124" i="6" s="1"/>
  <c r="AI124" i="6"/>
  <c r="AH124" i="6"/>
  <c r="AF124" i="6"/>
  <c r="AE124" i="6"/>
  <c r="AD124" i="6"/>
  <c r="AC124" i="6"/>
  <c r="AB124" i="6"/>
  <c r="X124" i="6"/>
  <c r="L124" i="6"/>
  <c r="J124" i="6"/>
  <c r="AJ124" i="6" s="1"/>
  <c r="H124" i="6"/>
  <c r="BU122" i="6"/>
  <c r="BH122" i="6"/>
  <c r="BB122" i="6"/>
  <c r="AV122" i="6"/>
  <c r="AN122" i="6"/>
  <c r="I122" i="6" s="1"/>
  <c r="AM122" i="6"/>
  <c r="AI122" i="6"/>
  <c r="AH122" i="6"/>
  <c r="AF122" i="6"/>
  <c r="AE122" i="6"/>
  <c r="AD122" i="6"/>
  <c r="AC122" i="6"/>
  <c r="AB122" i="6"/>
  <c r="X122" i="6"/>
  <c r="L122" i="6"/>
  <c r="BD122" i="6" s="1"/>
  <c r="J122" i="6"/>
  <c r="AJ122" i="6" s="1"/>
  <c r="BU120" i="6"/>
  <c r="BH120" i="6"/>
  <c r="BD120" i="6"/>
  <c r="BB120" i="6"/>
  <c r="AN120" i="6"/>
  <c r="I120" i="6" s="1"/>
  <c r="AM120" i="6"/>
  <c r="AI120" i="6"/>
  <c r="AH120" i="6"/>
  <c r="AF120" i="6"/>
  <c r="AE120" i="6"/>
  <c r="AD120" i="6"/>
  <c r="AC120" i="6"/>
  <c r="AB120" i="6"/>
  <c r="X120" i="6"/>
  <c r="L120" i="6"/>
  <c r="J120" i="6"/>
  <c r="AJ120" i="6" s="1"/>
  <c r="BU118" i="6"/>
  <c r="BH118" i="6"/>
  <c r="BD118" i="6"/>
  <c r="BB118" i="6"/>
  <c r="AV118" i="6"/>
  <c r="AU118" i="6"/>
  <c r="AN118" i="6"/>
  <c r="BG118" i="6" s="1"/>
  <c r="AA118" i="6" s="1"/>
  <c r="AM118" i="6"/>
  <c r="H118" i="6" s="1"/>
  <c r="AI118" i="6"/>
  <c r="AH118" i="6"/>
  <c r="AF118" i="6"/>
  <c r="AE118" i="6"/>
  <c r="AD118" i="6"/>
  <c r="AC118" i="6"/>
  <c r="AB118" i="6"/>
  <c r="X118" i="6"/>
  <c r="L118" i="6"/>
  <c r="J118" i="6"/>
  <c r="AJ118" i="6" s="1"/>
  <c r="I118" i="6"/>
  <c r="BU116" i="6"/>
  <c r="BH116" i="6"/>
  <c r="BD116" i="6"/>
  <c r="BB116" i="6"/>
  <c r="AU116" i="6"/>
  <c r="AN116" i="6"/>
  <c r="BG116" i="6" s="1"/>
  <c r="AA116" i="6" s="1"/>
  <c r="AM116" i="6"/>
  <c r="BF116" i="6" s="1"/>
  <c r="Z116" i="6" s="1"/>
  <c r="AI116" i="6"/>
  <c r="AH116" i="6"/>
  <c r="AF116" i="6"/>
  <c r="AE116" i="6"/>
  <c r="AD116" i="6"/>
  <c r="AC116" i="6"/>
  <c r="AB116" i="6"/>
  <c r="X116" i="6"/>
  <c r="L116" i="6"/>
  <c r="J116" i="6"/>
  <c r="AJ116" i="6" s="1"/>
  <c r="BU114" i="6"/>
  <c r="BH114" i="6"/>
  <c r="BB114" i="6"/>
  <c r="AN114" i="6"/>
  <c r="I114" i="6" s="1"/>
  <c r="AM114" i="6"/>
  <c r="AI114" i="6"/>
  <c r="AH114" i="6"/>
  <c r="AF114" i="6"/>
  <c r="AE114" i="6"/>
  <c r="AD114" i="6"/>
  <c r="AC114" i="6"/>
  <c r="AB114" i="6"/>
  <c r="X114" i="6"/>
  <c r="L114" i="6"/>
  <c r="BD114" i="6" s="1"/>
  <c r="J114" i="6"/>
  <c r="AJ114" i="6" s="1"/>
  <c r="BU112" i="6"/>
  <c r="BH112" i="6"/>
  <c r="BD112" i="6"/>
  <c r="BB112" i="6"/>
  <c r="AU112" i="6"/>
  <c r="AN112" i="6"/>
  <c r="AM112" i="6"/>
  <c r="H112" i="6" s="1"/>
  <c r="AI112" i="6"/>
  <c r="AH112" i="6"/>
  <c r="AF112" i="6"/>
  <c r="AE112" i="6"/>
  <c r="AD112" i="6"/>
  <c r="AC112" i="6"/>
  <c r="AB112" i="6"/>
  <c r="X112" i="6"/>
  <c r="L112" i="6"/>
  <c r="J112" i="6"/>
  <c r="AJ112" i="6" s="1"/>
  <c r="BU109" i="6"/>
  <c r="BH109" i="6"/>
  <c r="BB109" i="6"/>
  <c r="AU109" i="6"/>
  <c r="AN109" i="6"/>
  <c r="AM109" i="6"/>
  <c r="BF109" i="6" s="1"/>
  <c r="Z109" i="6" s="1"/>
  <c r="AI109" i="6"/>
  <c r="AH109" i="6"/>
  <c r="AF109" i="6"/>
  <c r="AE109" i="6"/>
  <c r="AD109" i="6"/>
  <c r="AC109" i="6"/>
  <c r="AB109" i="6"/>
  <c r="X109" i="6"/>
  <c r="L109" i="6"/>
  <c r="BD109" i="6" s="1"/>
  <c r="J109" i="6"/>
  <c r="AJ109" i="6" s="1"/>
  <c r="BU107" i="6"/>
  <c r="BH107" i="6"/>
  <c r="BB107" i="6"/>
  <c r="AN107" i="6"/>
  <c r="I107" i="6" s="1"/>
  <c r="AM107" i="6"/>
  <c r="AI107" i="6"/>
  <c r="AH107" i="6"/>
  <c r="AF107" i="6"/>
  <c r="AE107" i="6"/>
  <c r="AD107" i="6"/>
  <c r="AC107" i="6"/>
  <c r="AB107" i="6"/>
  <c r="X107" i="6"/>
  <c r="L107" i="6"/>
  <c r="BD107" i="6" s="1"/>
  <c r="J107" i="6"/>
  <c r="AJ107" i="6" s="1"/>
  <c r="BU105" i="6"/>
  <c r="BH105" i="6"/>
  <c r="BD105" i="6"/>
  <c r="BB105" i="6"/>
  <c r="AU105" i="6"/>
  <c r="AN105" i="6"/>
  <c r="AM105" i="6"/>
  <c r="H105" i="6" s="1"/>
  <c r="AI105" i="6"/>
  <c r="AH105" i="6"/>
  <c r="AF105" i="6"/>
  <c r="AE105" i="6"/>
  <c r="AD105" i="6"/>
  <c r="AC105" i="6"/>
  <c r="AB105" i="6"/>
  <c r="X105" i="6"/>
  <c r="L105" i="6"/>
  <c r="J105" i="6"/>
  <c r="AJ105" i="6" s="1"/>
  <c r="I105" i="6"/>
  <c r="BU103" i="6"/>
  <c r="BH103" i="6"/>
  <c r="BB103" i="6"/>
  <c r="AV103" i="6"/>
  <c r="AN103" i="6"/>
  <c r="BG103" i="6" s="1"/>
  <c r="AA103" i="6" s="1"/>
  <c r="AM103" i="6"/>
  <c r="AI103" i="6"/>
  <c r="AH103" i="6"/>
  <c r="AF103" i="6"/>
  <c r="AE103" i="6"/>
  <c r="AD103" i="6"/>
  <c r="AC103" i="6"/>
  <c r="AB103" i="6"/>
  <c r="X103" i="6"/>
  <c r="L103" i="6"/>
  <c r="BD103" i="6" s="1"/>
  <c r="J103" i="6"/>
  <c r="AJ103" i="6" s="1"/>
  <c r="I103" i="6"/>
  <c r="BU101" i="6"/>
  <c r="BH101" i="6"/>
  <c r="BB101" i="6"/>
  <c r="AN101" i="6"/>
  <c r="AM101" i="6"/>
  <c r="BF101" i="6" s="1"/>
  <c r="Z101" i="6" s="1"/>
  <c r="AI101" i="6"/>
  <c r="AR100" i="6" s="1"/>
  <c r="AH101" i="6"/>
  <c r="AF101" i="6"/>
  <c r="AE101" i="6"/>
  <c r="AD101" i="6"/>
  <c r="AC101" i="6"/>
  <c r="AB101" i="6"/>
  <c r="X101" i="6"/>
  <c r="L101" i="6"/>
  <c r="BD101" i="6" s="1"/>
  <c r="J101" i="6"/>
  <c r="L100" i="6"/>
  <c r="BU98" i="6"/>
  <c r="BH98" i="6"/>
  <c r="BD98" i="6"/>
  <c r="BB98" i="6"/>
  <c r="AV98" i="6"/>
  <c r="AN98" i="6"/>
  <c r="BG98" i="6" s="1"/>
  <c r="AM98" i="6"/>
  <c r="H98" i="6" s="1"/>
  <c r="AJ98" i="6"/>
  <c r="AI98" i="6"/>
  <c r="AH98" i="6"/>
  <c r="AF98" i="6"/>
  <c r="AE98" i="6"/>
  <c r="AD98" i="6"/>
  <c r="AC98" i="6"/>
  <c r="AB98" i="6"/>
  <c r="AA98" i="6"/>
  <c r="X98" i="6"/>
  <c r="L98" i="6"/>
  <c r="J98" i="6"/>
  <c r="I98" i="6"/>
  <c r="BU96" i="6"/>
  <c r="BH96" i="6"/>
  <c r="BB96" i="6"/>
  <c r="AU96" i="6"/>
  <c r="AN96" i="6"/>
  <c r="BG96" i="6" s="1"/>
  <c r="AA96" i="6" s="1"/>
  <c r="AM96" i="6"/>
  <c r="BF96" i="6" s="1"/>
  <c r="AI96" i="6"/>
  <c r="AH96" i="6"/>
  <c r="AF96" i="6"/>
  <c r="AE96" i="6"/>
  <c r="AD96" i="6"/>
  <c r="AC96" i="6"/>
  <c r="AB96" i="6"/>
  <c r="Z96" i="6"/>
  <c r="X96" i="6"/>
  <c r="L96" i="6"/>
  <c r="BD96" i="6" s="1"/>
  <c r="J96" i="6"/>
  <c r="AJ96" i="6" s="1"/>
  <c r="I96" i="6"/>
  <c r="H96" i="6"/>
  <c r="BU94" i="6"/>
  <c r="BH94" i="6"/>
  <c r="BB94" i="6"/>
  <c r="AN94" i="6"/>
  <c r="BG94" i="6" s="1"/>
  <c r="AA94" i="6" s="1"/>
  <c r="AM94" i="6"/>
  <c r="BF94" i="6" s="1"/>
  <c r="Z94" i="6" s="1"/>
  <c r="AI94" i="6"/>
  <c r="AH94" i="6"/>
  <c r="AF94" i="6"/>
  <c r="AE94" i="6"/>
  <c r="AD94" i="6"/>
  <c r="AC94" i="6"/>
  <c r="AB94" i="6"/>
  <c r="X94" i="6"/>
  <c r="L94" i="6"/>
  <c r="BD94" i="6" s="1"/>
  <c r="J94" i="6"/>
  <c r="AJ94" i="6" s="1"/>
  <c r="H94" i="6"/>
  <c r="BU92" i="6"/>
  <c r="BH92" i="6"/>
  <c r="BB92" i="6"/>
  <c r="AV92" i="6"/>
  <c r="AN92" i="6"/>
  <c r="BG92" i="6" s="1"/>
  <c r="AA92" i="6" s="1"/>
  <c r="AM92" i="6"/>
  <c r="AI92" i="6"/>
  <c r="AH92" i="6"/>
  <c r="AF92" i="6"/>
  <c r="AE92" i="6"/>
  <c r="AD92" i="6"/>
  <c r="AC92" i="6"/>
  <c r="AB92" i="6"/>
  <c r="X92" i="6"/>
  <c r="L92" i="6"/>
  <c r="J92" i="6"/>
  <c r="AJ92" i="6" s="1"/>
  <c r="AS91" i="6" s="1"/>
  <c r="I92" i="6"/>
  <c r="BU89" i="6"/>
  <c r="BH89" i="6"/>
  <c r="BB89" i="6"/>
  <c r="AV89" i="6"/>
  <c r="AU89" i="6"/>
  <c r="BA89" i="6" s="1"/>
  <c r="AT89" i="6"/>
  <c r="AN89" i="6"/>
  <c r="BG89" i="6" s="1"/>
  <c r="AA89" i="6" s="1"/>
  <c r="AM89" i="6"/>
  <c r="BF89" i="6" s="1"/>
  <c r="AI89" i="6"/>
  <c r="AR88" i="6" s="1"/>
  <c r="AH89" i="6"/>
  <c r="AF89" i="6"/>
  <c r="AE89" i="6"/>
  <c r="AD89" i="6"/>
  <c r="AC89" i="6"/>
  <c r="AB89" i="6"/>
  <c r="Z89" i="6"/>
  <c r="X89" i="6"/>
  <c r="L89" i="6"/>
  <c r="L88" i="6" s="1"/>
  <c r="J89" i="6"/>
  <c r="J88" i="6" s="1"/>
  <c r="I89" i="6"/>
  <c r="I88" i="6" s="1"/>
  <c r="H89" i="6"/>
  <c r="H88" i="6" s="1"/>
  <c r="AQ88" i="6"/>
  <c r="BU86" i="6"/>
  <c r="BH86" i="6"/>
  <c r="BB86" i="6"/>
  <c r="AN86" i="6"/>
  <c r="BG86" i="6" s="1"/>
  <c r="AA86" i="6" s="1"/>
  <c r="AM86" i="6"/>
  <c r="AI86" i="6"/>
  <c r="AH86" i="6"/>
  <c r="AF86" i="6"/>
  <c r="AE86" i="6"/>
  <c r="AD86" i="6"/>
  <c r="AC86" i="6"/>
  <c r="AB86" i="6"/>
  <c r="X86" i="6"/>
  <c r="L86" i="6"/>
  <c r="J86" i="6"/>
  <c r="AJ86" i="6" s="1"/>
  <c r="I86" i="6"/>
  <c r="BU84" i="6"/>
  <c r="BH84" i="6"/>
  <c r="BD84" i="6"/>
  <c r="BB84" i="6"/>
  <c r="AV84" i="6"/>
  <c r="AU84" i="6"/>
  <c r="AN84" i="6"/>
  <c r="BG84" i="6" s="1"/>
  <c r="AM84" i="6"/>
  <c r="BF84" i="6" s="1"/>
  <c r="Z84" i="6" s="1"/>
  <c r="AJ84" i="6"/>
  <c r="AS83" i="6" s="1"/>
  <c r="AI84" i="6"/>
  <c r="AR83" i="6" s="1"/>
  <c r="AH84" i="6"/>
  <c r="AF84" i="6"/>
  <c r="AE84" i="6"/>
  <c r="AD84" i="6"/>
  <c r="AC84" i="6"/>
  <c r="AB84" i="6"/>
  <c r="AA84" i="6"/>
  <c r="X84" i="6"/>
  <c r="L84" i="6"/>
  <c r="J84" i="6"/>
  <c r="J83" i="6" s="1"/>
  <c r="I84" i="6"/>
  <c r="H84" i="6"/>
  <c r="AQ83" i="6"/>
  <c r="I83" i="6"/>
  <c r="BU81" i="6"/>
  <c r="BH81" i="6"/>
  <c r="BB81" i="6"/>
  <c r="AN81" i="6"/>
  <c r="BG81" i="6" s="1"/>
  <c r="AA81" i="6" s="1"/>
  <c r="AM81" i="6"/>
  <c r="BF81" i="6" s="1"/>
  <c r="Z81" i="6" s="1"/>
  <c r="AI81" i="6"/>
  <c r="AH81" i="6"/>
  <c r="AF81" i="6"/>
  <c r="AE81" i="6"/>
  <c r="AD81" i="6"/>
  <c r="AC81" i="6"/>
  <c r="AB81" i="6"/>
  <c r="X81" i="6"/>
  <c r="L81" i="6"/>
  <c r="BD81" i="6" s="1"/>
  <c r="J81" i="6"/>
  <c r="AJ81" i="6" s="1"/>
  <c r="H81" i="6"/>
  <c r="BU79" i="6"/>
  <c r="BH79" i="6"/>
  <c r="BB79" i="6"/>
  <c r="AV79" i="6"/>
  <c r="AN79" i="6"/>
  <c r="BG79" i="6" s="1"/>
  <c r="AA79" i="6" s="1"/>
  <c r="AM79" i="6"/>
  <c r="BF79" i="6" s="1"/>
  <c r="Z79" i="6" s="1"/>
  <c r="AI79" i="6"/>
  <c r="AH79" i="6"/>
  <c r="AF79" i="6"/>
  <c r="AE79" i="6"/>
  <c r="AD79" i="6"/>
  <c r="AC79" i="6"/>
  <c r="AB79" i="6"/>
  <c r="X79" i="6"/>
  <c r="L79" i="6"/>
  <c r="BD79" i="6" s="1"/>
  <c r="J79" i="6"/>
  <c r="I79" i="6"/>
  <c r="AR78" i="6"/>
  <c r="L78" i="6"/>
  <c r="BU76" i="6"/>
  <c r="BH76" i="6"/>
  <c r="BB76" i="6"/>
  <c r="AN76" i="6"/>
  <c r="BG76" i="6" s="1"/>
  <c r="AA76" i="6" s="1"/>
  <c r="AM76" i="6"/>
  <c r="AU76" i="6" s="1"/>
  <c r="AI76" i="6"/>
  <c r="AH76" i="6"/>
  <c r="AF76" i="6"/>
  <c r="AE76" i="6"/>
  <c r="AD76" i="6"/>
  <c r="AC76" i="6"/>
  <c r="AB76" i="6"/>
  <c r="X76" i="6"/>
  <c r="L76" i="6"/>
  <c r="BD76" i="6" s="1"/>
  <c r="J76" i="6"/>
  <c r="AJ76" i="6" s="1"/>
  <c r="I76" i="6"/>
  <c r="BU74" i="6"/>
  <c r="BH74" i="6"/>
  <c r="BD74" i="6"/>
  <c r="BB74" i="6"/>
  <c r="AV74" i="6"/>
  <c r="AU74" i="6"/>
  <c r="AT74" i="6" s="1"/>
  <c r="AN74" i="6"/>
  <c r="I74" i="6" s="1"/>
  <c r="AM74" i="6"/>
  <c r="BF74" i="6" s="1"/>
  <c r="Z74" i="6" s="1"/>
  <c r="AI74" i="6"/>
  <c r="AR73" i="6" s="1"/>
  <c r="AH74" i="6"/>
  <c r="AQ73" i="6" s="1"/>
  <c r="AF74" i="6"/>
  <c r="AE74" i="6"/>
  <c r="AD74" i="6"/>
  <c r="AC74" i="6"/>
  <c r="AB74" i="6"/>
  <c r="X74" i="6"/>
  <c r="L74" i="6"/>
  <c r="L73" i="6" s="1"/>
  <c r="J74" i="6"/>
  <c r="AJ74" i="6" s="1"/>
  <c r="AS73" i="6" s="1"/>
  <c r="BU71" i="6"/>
  <c r="BH71" i="6"/>
  <c r="BD71" i="6"/>
  <c r="BB71" i="6"/>
  <c r="AU71" i="6"/>
  <c r="AN71" i="6"/>
  <c r="AV71" i="6" s="1"/>
  <c r="AM71" i="6"/>
  <c r="BF71" i="6" s="1"/>
  <c r="Z71" i="6" s="1"/>
  <c r="AI71" i="6"/>
  <c r="AH71" i="6"/>
  <c r="AF71" i="6"/>
  <c r="AE71" i="6"/>
  <c r="AD71" i="6"/>
  <c r="AC71" i="6"/>
  <c r="AB71" i="6"/>
  <c r="X71" i="6"/>
  <c r="L71" i="6"/>
  <c r="J71" i="6"/>
  <c r="AJ71" i="6" s="1"/>
  <c r="H71" i="6"/>
  <c r="BU70" i="6"/>
  <c r="BH70" i="6"/>
  <c r="BB70" i="6"/>
  <c r="AV70" i="6"/>
  <c r="AN70" i="6"/>
  <c r="BG70" i="6" s="1"/>
  <c r="AA70" i="6" s="1"/>
  <c r="AM70" i="6"/>
  <c r="AU70" i="6" s="1"/>
  <c r="AI70" i="6"/>
  <c r="AH70" i="6"/>
  <c r="AF70" i="6"/>
  <c r="AE70" i="6"/>
  <c r="AD70" i="6"/>
  <c r="AC70" i="6"/>
  <c r="AB70" i="6"/>
  <c r="X70" i="6"/>
  <c r="L70" i="6"/>
  <c r="BD70" i="6" s="1"/>
  <c r="J70" i="6"/>
  <c r="AJ70" i="6" s="1"/>
  <c r="I70" i="6"/>
  <c r="BU68" i="6"/>
  <c r="BH68" i="6"/>
  <c r="BD68" i="6"/>
  <c r="BB68" i="6"/>
  <c r="AN68" i="6"/>
  <c r="I68" i="6" s="1"/>
  <c r="AM68" i="6"/>
  <c r="AI68" i="6"/>
  <c r="AH68" i="6"/>
  <c r="AF68" i="6"/>
  <c r="AE68" i="6"/>
  <c r="AD68" i="6"/>
  <c r="AC68" i="6"/>
  <c r="AB68" i="6"/>
  <c r="X68" i="6"/>
  <c r="L68" i="6"/>
  <c r="J68" i="6"/>
  <c r="AJ68" i="6" s="1"/>
  <c r="AR67" i="6"/>
  <c r="BU65" i="6"/>
  <c r="BH65" i="6"/>
  <c r="BD65" i="6"/>
  <c r="BB65" i="6"/>
  <c r="AN65" i="6"/>
  <c r="AV65" i="6" s="1"/>
  <c r="AM65" i="6"/>
  <c r="BF65" i="6" s="1"/>
  <c r="Z65" i="6" s="1"/>
  <c r="AI65" i="6"/>
  <c r="AH65" i="6"/>
  <c r="AF65" i="6"/>
  <c r="AE65" i="6"/>
  <c r="AD65" i="6"/>
  <c r="AC65" i="6"/>
  <c r="AB65" i="6"/>
  <c r="X65" i="6"/>
  <c r="L65" i="6"/>
  <c r="J65" i="6"/>
  <c r="AJ65" i="6" s="1"/>
  <c r="BU63" i="6"/>
  <c r="BH63" i="6"/>
  <c r="BB63" i="6"/>
  <c r="AN63" i="6"/>
  <c r="BG63" i="6" s="1"/>
  <c r="AA63" i="6" s="1"/>
  <c r="AM63" i="6"/>
  <c r="AU63" i="6" s="1"/>
  <c r="AI63" i="6"/>
  <c r="AH63" i="6"/>
  <c r="AF63" i="6"/>
  <c r="AE63" i="6"/>
  <c r="AD63" i="6"/>
  <c r="AC63" i="6"/>
  <c r="AB63" i="6"/>
  <c r="X63" i="6"/>
  <c r="L63" i="6"/>
  <c r="BD63" i="6" s="1"/>
  <c r="J63" i="6"/>
  <c r="AJ63" i="6" s="1"/>
  <c r="I63" i="6"/>
  <c r="BU61" i="6"/>
  <c r="BH61" i="6"/>
  <c r="BD61" i="6"/>
  <c r="BB61" i="6"/>
  <c r="AU61" i="6"/>
  <c r="AN61" i="6"/>
  <c r="I61" i="6" s="1"/>
  <c r="AM61" i="6"/>
  <c r="BF61" i="6" s="1"/>
  <c r="Z61" i="6" s="1"/>
  <c r="AI61" i="6"/>
  <c r="AH61" i="6"/>
  <c r="AF61" i="6"/>
  <c r="AE61" i="6"/>
  <c r="AD61" i="6"/>
  <c r="AC61" i="6"/>
  <c r="AB61" i="6"/>
  <c r="X61" i="6"/>
  <c r="L61" i="6"/>
  <c r="J61" i="6"/>
  <c r="AJ61" i="6" s="1"/>
  <c r="BU59" i="6"/>
  <c r="BH59" i="6"/>
  <c r="BB59" i="6"/>
  <c r="AN59" i="6"/>
  <c r="BG59" i="6" s="1"/>
  <c r="AA59" i="6" s="1"/>
  <c r="AM59" i="6"/>
  <c r="H59" i="6" s="1"/>
  <c r="AI59" i="6"/>
  <c r="AH59" i="6"/>
  <c r="AF59" i="6"/>
  <c r="AE59" i="6"/>
  <c r="AD59" i="6"/>
  <c r="AC59" i="6"/>
  <c r="AB59" i="6"/>
  <c r="X59" i="6"/>
  <c r="L59" i="6"/>
  <c r="BD59" i="6" s="1"/>
  <c r="J59" i="6"/>
  <c r="AJ59" i="6" s="1"/>
  <c r="I59" i="6"/>
  <c r="BU57" i="6"/>
  <c r="BH57" i="6"/>
  <c r="BD57" i="6"/>
  <c r="BB57" i="6"/>
  <c r="AU57" i="6"/>
  <c r="AN57" i="6"/>
  <c r="AV57" i="6" s="1"/>
  <c r="AM57" i="6"/>
  <c r="BF57" i="6" s="1"/>
  <c r="Z57" i="6" s="1"/>
  <c r="AI57" i="6"/>
  <c r="AH57" i="6"/>
  <c r="AF57" i="6"/>
  <c r="AE57" i="6"/>
  <c r="AD57" i="6"/>
  <c r="AC57" i="6"/>
  <c r="AB57" i="6"/>
  <c r="X57" i="6"/>
  <c r="L57" i="6"/>
  <c r="J57" i="6"/>
  <c r="AJ57" i="6" s="1"/>
  <c r="H57" i="6"/>
  <c r="BU55" i="6"/>
  <c r="BH55" i="6"/>
  <c r="BB55" i="6"/>
  <c r="AV55" i="6"/>
  <c r="AN55" i="6"/>
  <c r="BG55" i="6" s="1"/>
  <c r="AA55" i="6" s="1"/>
  <c r="AM55" i="6"/>
  <c r="AU55" i="6" s="1"/>
  <c r="AI55" i="6"/>
  <c r="AH55" i="6"/>
  <c r="AF55" i="6"/>
  <c r="AE55" i="6"/>
  <c r="AD55" i="6"/>
  <c r="AC55" i="6"/>
  <c r="AB55" i="6"/>
  <c r="X55" i="6"/>
  <c r="L55" i="6"/>
  <c r="BD55" i="6" s="1"/>
  <c r="J55" i="6"/>
  <c r="I55" i="6"/>
  <c r="BU52" i="6"/>
  <c r="BH52" i="6"/>
  <c r="BB52" i="6"/>
  <c r="AN52" i="6"/>
  <c r="BG52" i="6" s="1"/>
  <c r="AA52" i="6" s="1"/>
  <c r="AM52" i="6"/>
  <c r="H52" i="6" s="1"/>
  <c r="AI52" i="6"/>
  <c r="AH52" i="6"/>
  <c r="AF52" i="6"/>
  <c r="AE52" i="6"/>
  <c r="AD52" i="6"/>
  <c r="AC52" i="6"/>
  <c r="AB52" i="6"/>
  <c r="X52" i="6"/>
  <c r="L52" i="6"/>
  <c r="BD52" i="6" s="1"/>
  <c r="J52" i="6"/>
  <c r="AJ52" i="6" s="1"/>
  <c r="I52" i="6"/>
  <c r="BU50" i="6"/>
  <c r="BH50" i="6"/>
  <c r="BD50" i="6"/>
  <c r="BB50" i="6"/>
  <c r="AU50" i="6"/>
  <c r="AN50" i="6"/>
  <c r="AV50" i="6" s="1"/>
  <c r="AM50" i="6"/>
  <c r="BF50" i="6" s="1"/>
  <c r="Z50" i="6" s="1"/>
  <c r="AI50" i="6"/>
  <c r="AH50" i="6"/>
  <c r="AQ49" i="6" s="1"/>
  <c r="AF50" i="6"/>
  <c r="AE50" i="6"/>
  <c r="AD50" i="6"/>
  <c r="AC50" i="6"/>
  <c r="AB50" i="6"/>
  <c r="X50" i="6"/>
  <c r="L50" i="6"/>
  <c r="J50" i="6"/>
  <c r="J49" i="6" s="1"/>
  <c r="L49" i="6"/>
  <c r="BU47" i="6"/>
  <c r="BH47" i="6"/>
  <c r="BD47" i="6"/>
  <c r="BB47" i="6"/>
  <c r="AV47" i="6"/>
  <c r="AU47" i="6"/>
  <c r="AT47" i="6" s="1"/>
  <c r="AN47" i="6"/>
  <c r="I47" i="6" s="1"/>
  <c r="AM47" i="6"/>
  <c r="BF47" i="6" s="1"/>
  <c r="Z47" i="6" s="1"/>
  <c r="AI47" i="6"/>
  <c r="AH47" i="6"/>
  <c r="AF47" i="6"/>
  <c r="AE47" i="6"/>
  <c r="AD47" i="6"/>
  <c r="AC47" i="6"/>
  <c r="AB47" i="6"/>
  <c r="X47" i="6"/>
  <c r="L47" i="6"/>
  <c r="J47" i="6"/>
  <c r="AJ47" i="6" s="1"/>
  <c r="BU45" i="6"/>
  <c r="BH45" i="6"/>
  <c r="BB45" i="6"/>
  <c r="AU45" i="6"/>
  <c r="AN45" i="6"/>
  <c r="AM45" i="6"/>
  <c r="H45" i="6" s="1"/>
  <c r="AI45" i="6"/>
  <c r="AH45" i="6"/>
  <c r="AF45" i="6"/>
  <c r="AE45" i="6"/>
  <c r="AD45" i="6"/>
  <c r="AC45" i="6"/>
  <c r="AB45" i="6"/>
  <c r="X45" i="6"/>
  <c r="L45" i="6"/>
  <c r="BD45" i="6" s="1"/>
  <c r="J45" i="6"/>
  <c r="AJ45" i="6" s="1"/>
  <c r="I45" i="6"/>
  <c r="BU43" i="6"/>
  <c r="BH43" i="6"/>
  <c r="BD43" i="6"/>
  <c r="BB43" i="6"/>
  <c r="AN43" i="6"/>
  <c r="AV43" i="6" s="1"/>
  <c r="AM43" i="6"/>
  <c r="BF43" i="6" s="1"/>
  <c r="Z43" i="6" s="1"/>
  <c r="AI43" i="6"/>
  <c r="AH43" i="6"/>
  <c r="AF43" i="6"/>
  <c r="AE43" i="6"/>
  <c r="AD43" i="6"/>
  <c r="AC43" i="6"/>
  <c r="AB43" i="6"/>
  <c r="X43" i="6"/>
  <c r="L43" i="6"/>
  <c r="J43" i="6"/>
  <c r="AJ43" i="6" s="1"/>
  <c r="BU41" i="6"/>
  <c r="BH41" i="6"/>
  <c r="BB41" i="6"/>
  <c r="AN41" i="6"/>
  <c r="BG41" i="6" s="1"/>
  <c r="AA41" i="6" s="1"/>
  <c r="AM41" i="6"/>
  <c r="AU41" i="6" s="1"/>
  <c r="AI41" i="6"/>
  <c r="AH41" i="6"/>
  <c r="AF41" i="6"/>
  <c r="AE41" i="6"/>
  <c r="AD41" i="6"/>
  <c r="AC41" i="6"/>
  <c r="AB41" i="6"/>
  <c r="X41" i="6"/>
  <c r="L41" i="6"/>
  <c r="BD41" i="6" s="1"/>
  <c r="J41" i="6"/>
  <c r="AJ41" i="6" s="1"/>
  <c r="I41" i="6"/>
  <c r="BU39" i="6"/>
  <c r="BH39" i="6"/>
  <c r="BD39" i="6"/>
  <c r="BB39" i="6"/>
  <c r="AV39" i="6"/>
  <c r="AN39" i="6"/>
  <c r="I39" i="6" s="1"/>
  <c r="AM39" i="6"/>
  <c r="BF39" i="6" s="1"/>
  <c r="Z39" i="6" s="1"/>
  <c r="AI39" i="6"/>
  <c r="AH39" i="6"/>
  <c r="AF39" i="6"/>
  <c r="AE39" i="6"/>
  <c r="AD39" i="6"/>
  <c r="AC39" i="6"/>
  <c r="AB39" i="6"/>
  <c r="X39" i="6"/>
  <c r="L39" i="6"/>
  <c r="J39" i="6"/>
  <c r="AJ39" i="6" s="1"/>
  <c r="BU37" i="6"/>
  <c r="BH37" i="6"/>
  <c r="BB37" i="6"/>
  <c r="AV37" i="6"/>
  <c r="AU37" i="6"/>
  <c r="BA37" i="6" s="1"/>
  <c r="AT37" i="6"/>
  <c r="AN37" i="6"/>
  <c r="BG37" i="6" s="1"/>
  <c r="AA37" i="6" s="1"/>
  <c r="AM37" i="6"/>
  <c r="H37" i="6" s="1"/>
  <c r="AI37" i="6"/>
  <c r="AH37" i="6"/>
  <c r="AF37" i="6"/>
  <c r="AE37" i="6"/>
  <c r="AD37" i="6"/>
  <c r="AC37" i="6"/>
  <c r="AB37" i="6"/>
  <c r="X37" i="6"/>
  <c r="L37" i="6"/>
  <c r="BD37" i="6" s="1"/>
  <c r="J37" i="6"/>
  <c r="AJ37" i="6" s="1"/>
  <c r="I37" i="6"/>
  <c r="BU35" i="6"/>
  <c r="BH35" i="6"/>
  <c r="BD35" i="6"/>
  <c r="BB35" i="6"/>
  <c r="AN35" i="6"/>
  <c r="AV35" i="6" s="1"/>
  <c r="AM35" i="6"/>
  <c r="AI35" i="6"/>
  <c r="AH35" i="6"/>
  <c r="AF35" i="6"/>
  <c r="AE35" i="6"/>
  <c r="AD35" i="6"/>
  <c r="AC35" i="6"/>
  <c r="AB35" i="6"/>
  <c r="X35" i="6"/>
  <c r="L35" i="6"/>
  <c r="J35" i="6"/>
  <c r="L34" i="6"/>
  <c r="BU32" i="6"/>
  <c r="BH32" i="6"/>
  <c r="BD32" i="6"/>
  <c r="BB32" i="6"/>
  <c r="AN32" i="6"/>
  <c r="I32" i="6" s="1"/>
  <c r="I31" i="6" s="1"/>
  <c r="AM32" i="6"/>
  <c r="AI32" i="6"/>
  <c r="AH32" i="6"/>
  <c r="AQ31" i="6" s="1"/>
  <c r="AF32" i="6"/>
  <c r="AE32" i="6"/>
  <c r="AD32" i="6"/>
  <c r="AC32" i="6"/>
  <c r="AB32" i="6"/>
  <c r="X32" i="6"/>
  <c r="L32" i="6"/>
  <c r="L31" i="6" s="1"/>
  <c r="J32" i="6"/>
  <c r="AJ32" i="6" s="1"/>
  <c r="AS31" i="6" s="1"/>
  <c r="AR31" i="6"/>
  <c r="BU29" i="6"/>
  <c r="BH29" i="6"/>
  <c r="BD29" i="6"/>
  <c r="BB29" i="6"/>
  <c r="AN29" i="6"/>
  <c r="AV29" i="6" s="1"/>
  <c r="AM29" i="6"/>
  <c r="BF29" i="6" s="1"/>
  <c r="Z29" i="6" s="1"/>
  <c r="AI29" i="6"/>
  <c r="AH29" i="6"/>
  <c r="AF29" i="6"/>
  <c r="AE29" i="6"/>
  <c r="AD29" i="6"/>
  <c r="AC29" i="6"/>
  <c r="AB29" i="6"/>
  <c r="X29" i="6"/>
  <c r="L29" i="6"/>
  <c r="J29" i="6"/>
  <c r="AJ29" i="6" s="1"/>
  <c r="BU27" i="6"/>
  <c r="BH27" i="6"/>
  <c r="BB27" i="6"/>
  <c r="AN27" i="6"/>
  <c r="AM27" i="6"/>
  <c r="AU27" i="6" s="1"/>
  <c r="AI27" i="6"/>
  <c r="AH27" i="6"/>
  <c r="AF27" i="6"/>
  <c r="AE27" i="6"/>
  <c r="AD27" i="6"/>
  <c r="AC27" i="6"/>
  <c r="AB27" i="6"/>
  <c r="X27" i="6"/>
  <c r="L27" i="6"/>
  <c r="BD27" i="6" s="1"/>
  <c r="J27" i="6"/>
  <c r="AJ27" i="6" s="1"/>
  <c r="I27" i="6"/>
  <c r="BU25" i="6"/>
  <c r="BH25" i="6"/>
  <c r="BD25" i="6"/>
  <c r="BB25" i="6"/>
  <c r="AV25" i="6"/>
  <c r="AN25" i="6"/>
  <c r="I25" i="6" s="1"/>
  <c r="AM25" i="6"/>
  <c r="AI25" i="6"/>
  <c r="AH25" i="6"/>
  <c r="AF25" i="6"/>
  <c r="AE25" i="6"/>
  <c r="AD25" i="6"/>
  <c r="AC25" i="6"/>
  <c r="AB25" i="6"/>
  <c r="X25" i="6"/>
  <c r="L25" i="6"/>
  <c r="J25" i="6"/>
  <c r="AJ25" i="6" s="1"/>
  <c r="BU23" i="6"/>
  <c r="BH23" i="6"/>
  <c r="BB23" i="6"/>
  <c r="AV23" i="6"/>
  <c r="AU23" i="6"/>
  <c r="BA23" i="6" s="1"/>
  <c r="AT23" i="6"/>
  <c r="AN23" i="6"/>
  <c r="BG23" i="6" s="1"/>
  <c r="AA23" i="6" s="1"/>
  <c r="AM23" i="6"/>
  <c r="H23" i="6" s="1"/>
  <c r="AI23" i="6"/>
  <c r="AH23" i="6"/>
  <c r="AF23" i="6"/>
  <c r="AE23" i="6"/>
  <c r="AD23" i="6"/>
  <c r="AC23" i="6"/>
  <c r="AB23" i="6"/>
  <c r="X23" i="6"/>
  <c r="L23" i="6"/>
  <c r="BD23" i="6" s="1"/>
  <c r="J23" i="6"/>
  <c r="AJ23" i="6" s="1"/>
  <c r="I23" i="6"/>
  <c r="BU21" i="6"/>
  <c r="BH21" i="6"/>
  <c r="BD21" i="6"/>
  <c r="BB21" i="6"/>
  <c r="AN21" i="6"/>
  <c r="AV21" i="6" s="1"/>
  <c r="AM21" i="6"/>
  <c r="AI21" i="6"/>
  <c r="AH21" i="6"/>
  <c r="AF21" i="6"/>
  <c r="AE21" i="6"/>
  <c r="AD21" i="6"/>
  <c r="AC21" i="6"/>
  <c r="AB21" i="6"/>
  <c r="X21" i="6"/>
  <c r="L21" i="6"/>
  <c r="J21" i="6"/>
  <c r="AJ21" i="6" s="1"/>
  <c r="BU19" i="6"/>
  <c r="BH19" i="6"/>
  <c r="BB19" i="6"/>
  <c r="AN19" i="6"/>
  <c r="I19" i="6" s="1"/>
  <c r="AM19" i="6"/>
  <c r="AU19" i="6" s="1"/>
  <c r="AI19" i="6"/>
  <c r="AH19" i="6"/>
  <c r="AF19" i="6"/>
  <c r="AE19" i="6"/>
  <c r="AD19" i="6"/>
  <c r="AC19" i="6"/>
  <c r="AB19" i="6"/>
  <c r="X19" i="6"/>
  <c r="L19" i="6"/>
  <c r="BD19" i="6" s="1"/>
  <c r="J19" i="6"/>
  <c r="AJ19" i="6" s="1"/>
  <c r="BU16" i="6"/>
  <c r="BH16" i="6"/>
  <c r="BD16" i="6"/>
  <c r="BB16" i="6"/>
  <c r="AU16" i="6"/>
  <c r="AN16" i="6"/>
  <c r="AM16" i="6"/>
  <c r="H16" i="6" s="1"/>
  <c r="H15" i="6" s="1"/>
  <c r="AI16" i="6"/>
  <c r="AR15" i="6" s="1"/>
  <c r="AH16" i="6"/>
  <c r="AQ15" i="6" s="1"/>
  <c r="AF16" i="6"/>
  <c r="AE16" i="6"/>
  <c r="AD16" i="6"/>
  <c r="AC16" i="6"/>
  <c r="AB16" i="6"/>
  <c r="X16" i="6"/>
  <c r="L16" i="6"/>
  <c r="L15" i="6" s="1"/>
  <c r="J16" i="6"/>
  <c r="J15" i="6" s="1"/>
  <c r="I16" i="6"/>
  <c r="I15" i="6" s="1"/>
  <c r="BU13" i="6"/>
  <c r="BH13" i="6"/>
  <c r="BB13" i="6"/>
  <c r="AN13" i="6"/>
  <c r="I13" i="6" s="1"/>
  <c r="I12" i="6" s="1"/>
  <c r="AM13" i="6"/>
  <c r="AU13" i="6" s="1"/>
  <c r="AI13" i="6"/>
  <c r="AR12" i="6" s="1"/>
  <c r="AH13" i="6"/>
  <c r="AQ12" i="6" s="1"/>
  <c r="AF13" i="6"/>
  <c r="AE13" i="6"/>
  <c r="AD13" i="6"/>
  <c r="AC13" i="6"/>
  <c r="AB13" i="6"/>
  <c r="X13" i="6"/>
  <c r="L13" i="6"/>
  <c r="BD13" i="6" s="1"/>
  <c r="J13" i="6"/>
  <c r="AJ13" i="6" s="1"/>
  <c r="AS12" i="6" s="1"/>
  <c r="J12" i="6"/>
  <c r="AS1" i="6"/>
  <c r="AR1" i="6"/>
  <c r="AQ1" i="6"/>
  <c r="J15" i="24" l="1"/>
  <c r="AQ15" i="24"/>
  <c r="H40" i="16"/>
  <c r="AQ51" i="16"/>
  <c r="AU27" i="16"/>
  <c r="AV36" i="16"/>
  <c r="AV64" i="16"/>
  <c r="AU13" i="16"/>
  <c r="H18" i="16"/>
  <c r="AV29" i="16"/>
  <c r="AT29" i="16" s="1"/>
  <c r="J45" i="16"/>
  <c r="H76" i="16"/>
  <c r="H75" i="16" s="1"/>
  <c r="I18" i="8"/>
  <c r="AS18" i="8"/>
  <c r="AU23" i="8"/>
  <c r="BA23" i="8" s="1"/>
  <c r="AU31" i="8"/>
  <c r="BA31" i="8" s="1"/>
  <c r="AQ33" i="8"/>
  <c r="AU38" i="8"/>
  <c r="AU42" i="8"/>
  <c r="BA42" i="8" s="1"/>
  <c r="BG60" i="8"/>
  <c r="AA60" i="8" s="1"/>
  <c r="AU64" i="8"/>
  <c r="J66" i="8"/>
  <c r="AU67" i="8"/>
  <c r="H66" i="8"/>
  <c r="H75" i="8"/>
  <c r="BF75" i="8"/>
  <c r="Z75" i="8" s="1"/>
  <c r="AV82" i="8"/>
  <c r="AV94" i="8"/>
  <c r="AV142" i="8"/>
  <c r="H145" i="8"/>
  <c r="AS144" i="8"/>
  <c r="I146" i="8"/>
  <c r="I144" i="8" s="1"/>
  <c r="I148" i="8"/>
  <c r="AU153" i="8"/>
  <c r="H158" i="8"/>
  <c r="AU158" i="8"/>
  <c r="AU162" i="8"/>
  <c r="I164" i="8"/>
  <c r="I168" i="8"/>
  <c r="AV175" i="8"/>
  <c r="AU19" i="8"/>
  <c r="AU27" i="8"/>
  <c r="AU36" i="8"/>
  <c r="AT36" i="8" s="1"/>
  <c r="H48" i="8"/>
  <c r="AU60" i="8"/>
  <c r="BA60" i="8" s="1"/>
  <c r="AU62" i="8"/>
  <c r="BA62" i="8" s="1"/>
  <c r="AQ72" i="8"/>
  <c r="AQ77" i="8"/>
  <c r="AU80" i="8"/>
  <c r="AS77" i="8"/>
  <c r="AV87" i="8"/>
  <c r="BF117" i="8"/>
  <c r="Z117" i="8" s="1"/>
  <c r="AQ119" i="8"/>
  <c r="BF124" i="8"/>
  <c r="Z124" i="8" s="1"/>
  <c r="H128" i="8"/>
  <c r="AV128" i="8"/>
  <c r="AT128" i="8" s="1"/>
  <c r="H142" i="8"/>
  <c r="H141" i="8" s="1"/>
  <c r="I145" i="8"/>
  <c r="AQ151" i="8"/>
  <c r="AU152" i="8"/>
  <c r="H153" i="8"/>
  <c r="I158" i="8"/>
  <c r="H162" i="8"/>
  <c r="H173" i="8"/>
  <c r="AU173" i="8"/>
  <c r="I176" i="8"/>
  <c r="AS53" i="8"/>
  <c r="H151" i="8"/>
  <c r="J53" i="8"/>
  <c r="AT64" i="8"/>
  <c r="I66" i="8"/>
  <c r="H72" i="8"/>
  <c r="AV104" i="8"/>
  <c r="AV115" i="8"/>
  <c r="H117" i="8"/>
  <c r="AV130" i="8"/>
  <c r="AQ144" i="8"/>
  <c r="AV145" i="8"/>
  <c r="AV146" i="8"/>
  <c r="AV148" i="8"/>
  <c r="AV176" i="8"/>
  <c r="J56" i="15"/>
  <c r="I68" i="15"/>
  <c r="I65" i="15" s="1"/>
  <c r="H90" i="15"/>
  <c r="H89" i="15" s="1"/>
  <c r="I12" i="15"/>
  <c r="AU21" i="15"/>
  <c r="AS40" i="15"/>
  <c r="AU43" i="15"/>
  <c r="AU60" i="15"/>
  <c r="AS12" i="15"/>
  <c r="AS26" i="15"/>
  <c r="AQ40" i="15"/>
  <c r="AU19" i="15"/>
  <c r="H21" i="15"/>
  <c r="H33" i="15"/>
  <c r="I41" i="15"/>
  <c r="I45" i="15"/>
  <c r="I49" i="15"/>
  <c r="AU66" i="15"/>
  <c r="AS65" i="15"/>
  <c r="I75" i="15"/>
  <c r="I74" i="15" s="1"/>
  <c r="AS80" i="15"/>
  <c r="H86" i="15"/>
  <c r="AU90" i="15"/>
  <c r="BG21" i="14"/>
  <c r="AA21" i="14" s="1"/>
  <c r="BF41" i="14"/>
  <c r="Z41" i="14" s="1"/>
  <c r="AV19" i="14"/>
  <c r="AV21" i="14"/>
  <c r="BA21" i="14" s="1"/>
  <c r="H41" i="14"/>
  <c r="BG41" i="14"/>
  <c r="AA41" i="14" s="1"/>
  <c r="BA57" i="14"/>
  <c r="AV60" i="14"/>
  <c r="I78" i="14"/>
  <c r="I77" i="14" s="1"/>
  <c r="BF81" i="14"/>
  <c r="AU17" i="14"/>
  <c r="H24" i="14"/>
  <c r="H23" i="14" s="1"/>
  <c r="H31" i="14"/>
  <c r="AU31" i="14"/>
  <c r="BA31" i="14" s="1"/>
  <c r="H36" i="14"/>
  <c r="H35" i="14" s="1"/>
  <c r="AR40" i="14"/>
  <c r="AQ40" i="14"/>
  <c r="AV41" i="14"/>
  <c r="BA41" i="14" s="1"/>
  <c r="AU45" i="14"/>
  <c r="AV47" i="14"/>
  <c r="AV54" i="14"/>
  <c r="AT54" i="14" s="1"/>
  <c r="AV66" i="14"/>
  <c r="BA66" i="14" s="1"/>
  <c r="BG75" i="14"/>
  <c r="AA75" i="14" s="1"/>
  <c r="BG81" i="14"/>
  <c r="I82" i="14"/>
  <c r="I12" i="14"/>
  <c r="H17" i="14"/>
  <c r="AS12" i="14"/>
  <c r="I19" i="14"/>
  <c r="AT21" i="14"/>
  <c r="AI24" i="14"/>
  <c r="AR23" i="14" s="1"/>
  <c r="AU24" i="14"/>
  <c r="I31" i="14"/>
  <c r="I36" i="14"/>
  <c r="I35" i="14" s="1"/>
  <c r="J35" i="14"/>
  <c r="AU38" i="14"/>
  <c r="H45" i="14"/>
  <c r="AS40" i="14"/>
  <c r="AV45" i="14"/>
  <c r="J49" i="14"/>
  <c r="AU52" i="14"/>
  <c r="H57" i="14"/>
  <c r="H56" i="14" s="1"/>
  <c r="AI57" i="14"/>
  <c r="AR56" i="14" s="1"/>
  <c r="BG57" i="14"/>
  <c r="AA57" i="14" s="1"/>
  <c r="J59" i="14"/>
  <c r="AU70" i="14"/>
  <c r="H72" i="14"/>
  <c r="AU72" i="14"/>
  <c r="AV75" i="14"/>
  <c r="BA75" i="14" s="1"/>
  <c r="AQ80" i="14"/>
  <c r="AV81" i="14"/>
  <c r="BA81" i="14" s="1"/>
  <c r="AU84" i="14"/>
  <c r="AR86" i="14"/>
  <c r="AT15" i="12"/>
  <c r="AU17" i="12"/>
  <c r="AT17" i="12" s="1"/>
  <c r="I36" i="12"/>
  <c r="I35" i="12" s="1"/>
  <c r="AS35" i="12"/>
  <c r="AV38" i="12"/>
  <c r="AU45" i="12"/>
  <c r="AV47" i="12"/>
  <c r="AU52" i="12"/>
  <c r="J65" i="12"/>
  <c r="AR80" i="12"/>
  <c r="AV87" i="12"/>
  <c r="AU29" i="12"/>
  <c r="J40" i="12"/>
  <c r="AI50" i="12"/>
  <c r="AS49" i="12"/>
  <c r="AV60" i="12"/>
  <c r="AQ80" i="12"/>
  <c r="AI13" i="12"/>
  <c r="AR12" i="12" s="1"/>
  <c r="AT36" i="12"/>
  <c r="AR65" i="12"/>
  <c r="AI78" i="12"/>
  <c r="AR77" i="12" s="1"/>
  <c r="AV81" i="12"/>
  <c r="AS12" i="12"/>
  <c r="I15" i="12"/>
  <c r="AV15" i="12"/>
  <c r="BA15" i="12" s="1"/>
  <c r="AV19" i="12"/>
  <c r="AV24" i="12"/>
  <c r="AT24" i="12" s="1"/>
  <c r="AI27" i="12"/>
  <c r="AR26" i="12" s="1"/>
  <c r="AU27" i="12"/>
  <c r="H31" i="12"/>
  <c r="AU31" i="12"/>
  <c r="H36" i="12"/>
  <c r="H35" i="12" s="1"/>
  <c r="AU36" i="12"/>
  <c r="BA36" i="12" s="1"/>
  <c r="AU38" i="12"/>
  <c r="AV66" i="12"/>
  <c r="AS65" i="12"/>
  <c r="J74" i="12"/>
  <c r="AQ86" i="12"/>
  <c r="AS12" i="13"/>
  <c r="J24" i="13"/>
  <c r="H34" i="13"/>
  <c r="H33" i="13" s="1"/>
  <c r="I51" i="13"/>
  <c r="AV56" i="13"/>
  <c r="J67" i="13"/>
  <c r="H80" i="13"/>
  <c r="H79" i="13" s="1"/>
  <c r="BF13" i="13"/>
  <c r="Z13" i="13" s="1"/>
  <c r="J19" i="13"/>
  <c r="AR19" i="13"/>
  <c r="I19" i="13"/>
  <c r="AQ24" i="13"/>
  <c r="AU27" i="13"/>
  <c r="AV29" i="13"/>
  <c r="H31" i="13"/>
  <c r="AQ33" i="13"/>
  <c r="AU34" i="13"/>
  <c r="BF36" i="13"/>
  <c r="Z36" i="13" s="1"/>
  <c r="AU39" i="13"/>
  <c r="AU47" i="13"/>
  <c r="AU54" i="13"/>
  <c r="H65" i="13"/>
  <c r="H64" i="13" s="1"/>
  <c r="AI65" i="13"/>
  <c r="AR64" i="13" s="1"/>
  <c r="I80" i="13"/>
  <c r="I79" i="13" s="1"/>
  <c r="AI80" i="13"/>
  <c r="AR79" i="13" s="1"/>
  <c r="AU80" i="13"/>
  <c r="AU86" i="13"/>
  <c r="AR88" i="13"/>
  <c r="AV22" i="13"/>
  <c r="AV25" i="13"/>
  <c r="H27" i="13"/>
  <c r="H43" i="13"/>
  <c r="AV62" i="13"/>
  <c r="H77" i="13"/>
  <c r="H76" i="13" s="1"/>
  <c r="BG17" i="13"/>
  <c r="AA17" i="13" s="1"/>
  <c r="AQ19" i="13"/>
  <c r="I22" i="13"/>
  <c r="I25" i="13"/>
  <c r="AU31" i="13"/>
  <c r="H39" i="13"/>
  <c r="H38" i="13" s="1"/>
  <c r="BF43" i="13"/>
  <c r="Z43" i="13" s="1"/>
  <c r="H47" i="13"/>
  <c r="H54" i="13"/>
  <c r="AS51" i="13"/>
  <c r="I56" i="13"/>
  <c r="I65" i="13"/>
  <c r="I64" i="13" s="1"/>
  <c r="AR67" i="13"/>
  <c r="AV68" i="13"/>
  <c r="I74" i="13"/>
  <c r="BF77" i="13"/>
  <c r="Z77" i="13" s="1"/>
  <c r="H86" i="13"/>
  <c r="I88" i="13"/>
  <c r="AQ21" i="10"/>
  <c r="AV26" i="10"/>
  <c r="J34" i="10"/>
  <c r="I39" i="10"/>
  <c r="AV48" i="10"/>
  <c r="AS52" i="10"/>
  <c r="AQ52" i="10"/>
  <c r="AQ73" i="10"/>
  <c r="H91" i="10"/>
  <c r="J21" i="10"/>
  <c r="AV24" i="10"/>
  <c r="H26" i="10"/>
  <c r="I28" i="10"/>
  <c r="H32" i="10"/>
  <c r="BF32" i="10"/>
  <c r="Z32" i="10" s="1"/>
  <c r="AV46" i="10"/>
  <c r="BA46" i="10" s="1"/>
  <c r="H48" i="10"/>
  <c r="I53" i="10"/>
  <c r="AQ59" i="10"/>
  <c r="AU60" i="10"/>
  <c r="AT60" i="10" s="1"/>
  <c r="H68" i="10"/>
  <c r="H67" i="10" s="1"/>
  <c r="I76" i="10"/>
  <c r="I89" i="10"/>
  <c r="I88" i="10" s="1"/>
  <c r="I93" i="10"/>
  <c r="I91" i="10" s="1"/>
  <c r="H98" i="10"/>
  <c r="H97" i="10" s="1"/>
  <c r="H19" i="10"/>
  <c r="H24" i="10"/>
  <c r="I26" i="10"/>
  <c r="H46" i="10"/>
  <c r="I48" i="10"/>
  <c r="I59" i="10"/>
  <c r="H71" i="10"/>
  <c r="H70" i="10" s="1"/>
  <c r="AU71" i="10"/>
  <c r="AU83" i="10"/>
  <c r="I92" i="10"/>
  <c r="AU99" i="10"/>
  <c r="H36" i="9"/>
  <c r="H67" i="9"/>
  <c r="J70" i="9"/>
  <c r="H92" i="9"/>
  <c r="AV116" i="9"/>
  <c r="AV13" i="9"/>
  <c r="AS15" i="9"/>
  <c r="AV18" i="9"/>
  <c r="BA18" i="9" s="1"/>
  <c r="AQ31" i="9"/>
  <c r="AU36" i="9"/>
  <c r="AU40" i="9"/>
  <c r="AV49" i="9"/>
  <c r="BF62" i="9"/>
  <c r="Z62" i="9" s="1"/>
  <c r="J64" i="9"/>
  <c r="AQ64" i="9"/>
  <c r="AU67" i="9"/>
  <c r="AQ87" i="9"/>
  <c r="AU92" i="9"/>
  <c r="AR96" i="9"/>
  <c r="AV97" i="9"/>
  <c r="H99" i="9"/>
  <c r="AS96" i="9"/>
  <c r="H106" i="9"/>
  <c r="AU110" i="9"/>
  <c r="AU118" i="9"/>
  <c r="J129" i="9"/>
  <c r="AQ129" i="9"/>
  <c r="I133" i="9"/>
  <c r="H136" i="9"/>
  <c r="H143" i="9"/>
  <c r="I145" i="9"/>
  <c r="I147" i="9"/>
  <c r="H153" i="9"/>
  <c r="AU153" i="9"/>
  <c r="AV155" i="9"/>
  <c r="H163" i="9"/>
  <c r="I164" i="9"/>
  <c r="I165" i="9"/>
  <c r="AV34" i="9"/>
  <c r="AV56" i="9"/>
  <c r="H58" i="9"/>
  <c r="AV65" i="9"/>
  <c r="AV68" i="9"/>
  <c r="AQ70" i="9"/>
  <c r="AV78" i="9"/>
  <c r="AV90" i="9"/>
  <c r="H118" i="9"/>
  <c r="AV147" i="9"/>
  <c r="AV165" i="9"/>
  <c r="H16" i="9"/>
  <c r="AU16" i="9"/>
  <c r="AU32" i="9"/>
  <c r="AT32" i="9" s="1"/>
  <c r="I38" i="9"/>
  <c r="H52" i="9"/>
  <c r="AU54" i="9"/>
  <c r="I68" i="9"/>
  <c r="AU76" i="9"/>
  <c r="H85" i="9"/>
  <c r="H84" i="9" s="1"/>
  <c r="AU88" i="9"/>
  <c r="I94" i="9"/>
  <c r="AQ96" i="9"/>
  <c r="H101" i="9"/>
  <c r="I103" i="9"/>
  <c r="AQ105" i="9"/>
  <c r="I108" i="9"/>
  <c r="AS105" i="9"/>
  <c r="AV124" i="9"/>
  <c r="AV130" i="9"/>
  <c r="H131" i="9"/>
  <c r="H139" i="9"/>
  <c r="AU139" i="9"/>
  <c r="BA139" i="9" s="1"/>
  <c r="I143" i="9"/>
  <c r="H151" i="9"/>
  <c r="I153" i="9"/>
  <c r="I155" i="9"/>
  <c r="H160" i="9"/>
  <c r="AU160" i="9"/>
  <c r="AV161" i="9"/>
  <c r="H162" i="9"/>
  <c r="I163" i="9"/>
  <c r="I28" i="7"/>
  <c r="AV50" i="7"/>
  <c r="AV53" i="7"/>
  <c r="I64" i="7"/>
  <c r="AS74" i="7"/>
  <c r="AR74" i="7"/>
  <c r="AV77" i="7"/>
  <c r="J80" i="7"/>
  <c r="J88" i="7"/>
  <c r="AR88" i="7"/>
  <c r="H94" i="7"/>
  <c r="AQ93" i="7"/>
  <c r="AV96" i="7"/>
  <c r="AV102" i="7"/>
  <c r="AV108" i="7"/>
  <c r="I112" i="7"/>
  <c r="AV121" i="7"/>
  <c r="AR120" i="7"/>
  <c r="J140" i="7"/>
  <c r="AQ140" i="7"/>
  <c r="AU141" i="7"/>
  <c r="AU147" i="7"/>
  <c r="H149" i="7"/>
  <c r="I153" i="7"/>
  <c r="AU155" i="7"/>
  <c r="J157" i="7"/>
  <c r="AU168" i="7"/>
  <c r="I180" i="7"/>
  <c r="AQ182" i="7"/>
  <c r="I185" i="7"/>
  <c r="H187" i="7"/>
  <c r="I189" i="7"/>
  <c r="H191" i="7"/>
  <c r="I193" i="7"/>
  <c r="H195" i="7"/>
  <c r="I201" i="7"/>
  <c r="AU22" i="7"/>
  <c r="I44" i="7"/>
  <c r="I50" i="7"/>
  <c r="I53" i="7"/>
  <c r="I52" i="7" s="1"/>
  <c r="AQ101" i="7"/>
  <c r="AU132" i="7"/>
  <c r="BA132" i="7" s="1"/>
  <c r="AU149" i="7"/>
  <c r="H158" i="7"/>
  <c r="AU158" i="7"/>
  <c r="AU161" i="7"/>
  <c r="AU197" i="7"/>
  <c r="AV24" i="7"/>
  <c r="I33" i="7"/>
  <c r="AV64" i="7"/>
  <c r="AQ83" i="7"/>
  <c r="AS88" i="7"/>
  <c r="AQ88" i="7"/>
  <c r="I102" i="7"/>
  <c r="AR101" i="7"/>
  <c r="I108" i="7"/>
  <c r="AV112" i="7"/>
  <c r="AV118" i="7"/>
  <c r="AQ120" i="7"/>
  <c r="AV129" i="7"/>
  <c r="AU134" i="7"/>
  <c r="I147" i="7"/>
  <c r="I166" i="7"/>
  <c r="H172" i="7"/>
  <c r="H171" i="7" s="1"/>
  <c r="AU180" i="7"/>
  <c r="AU193" i="7"/>
  <c r="I199" i="7"/>
  <c r="AS12" i="20"/>
  <c r="AV54" i="20"/>
  <c r="AV80" i="20"/>
  <c r="AQ90" i="20"/>
  <c r="AV20" i="20"/>
  <c r="H22" i="20"/>
  <c r="H19" i="20" s="1"/>
  <c r="H25" i="20"/>
  <c r="H24" i="20" s="1"/>
  <c r="AV27" i="20"/>
  <c r="H29" i="20"/>
  <c r="AI34" i="20"/>
  <c r="AS33" i="20"/>
  <c r="AV36" i="20"/>
  <c r="AS38" i="20"/>
  <c r="I41" i="20"/>
  <c r="H49" i="20"/>
  <c r="AS51" i="20"/>
  <c r="I54" i="20"/>
  <c r="H59" i="20"/>
  <c r="H58" i="20" s="1"/>
  <c r="AU68" i="20"/>
  <c r="BA68" i="20" s="1"/>
  <c r="J70" i="20"/>
  <c r="AQ70" i="20"/>
  <c r="AU71" i="20"/>
  <c r="H73" i="20"/>
  <c r="I75" i="20"/>
  <c r="AV77" i="20"/>
  <c r="I80" i="20"/>
  <c r="I79" i="20" s="1"/>
  <c r="H91" i="20"/>
  <c r="I92" i="20"/>
  <c r="H99" i="20"/>
  <c r="AU99" i="20"/>
  <c r="H101" i="20"/>
  <c r="H100" i="20" s="1"/>
  <c r="AT36" i="20"/>
  <c r="AQ51" i="20"/>
  <c r="H71" i="20"/>
  <c r="J82" i="20"/>
  <c r="AQ82" i="20"/>
  <c r="AR12" i="20"/>
  <c r="AU22" i="20"/>
  <c r="AT22" i="20" s="1"/>
  <c r="J24" i="20"/>
  <c r="AQ24" i="20"/>
  <c r="AU25" i="20"/>
  <c r="BA25" i="20" s="1"/>
  <c r="AU29" i="20"/>
  <c r="AT29" i="20" s="1"/>
  <c r="AU34" i="20"/>
  <c r="AU49" i="20"/>
  <c r="AU56" i="20"/>
  <c r="I62" i="20"/>
  <c r="I61" i="20" s="1"/>
  <c r="H68" i="20"/>
  <c r="H67" i="20" s="1"/>
  <c r="AV68" i="20"/>
  <c r="I73" i="20"/>
  <c r="AU88" i="20"/>
  <c r="BA88" i="20" s="1"/>
  <c r="H98" i="20"/>
  <c r="H97" i="20" s="1"/>
  <c r="I99" i="20"/>
  <c r="I97" i="20" s="1"/>
  <c r="AS97" i="20"/>
  <c r="AS12" i="21"/>
  <c r="I54" i="21"/>
  <c r="AU68" i="21"/>
  <c r="I75" i="21"/>
  <c r="I74" i="21" s="1"/>
  <c r="H78" i="21"/>
  <c r="H77" i="21" s="1"/>
  <c r="AU81" i="21"/>
  <c r="AS83" i="21"/>
  <c r="J101" i="21"/>
  <c r="AQ101" i="21"/>
  <c r="AQ35" i="21"/>
  <c r="AQ12" i="21"/>
  <c r="AU17" i="21"/>
  <c r="I26" i="21"/>
  <c r="AS26" i="21"/>
  <c r="AQ40" i="21"/>
  <c r="AU43" i="21"/>
  <c r="BA43" i="21" s="1"/>
  <c r="AS65" i="21"/>
  <c r="AU78" i="21"/>
  <c r="I83" i="21"/>
  <c r="AU102" i="21"/>
  <c r="J12" i="21"/>
  <c r="I12" i="21"/>
  <c r="AV47" i="21"/>
  <c r="I93" i="21"/>
  <c r="H102" i="21"/>
  <c r="I103" i="21"/>
  <c r="H13" i="22"/>
  <c r="AV15" i="22"/>
  <c r="AT15" i="22" s="1"/>
  <c r="BF36" i="22"/>
  <c r="Z36" i="22" s="1"/>
  <c r="AV66" i="22"/>
  <c r="AV72" i="22"/>
  <c r="AQ79" i="22"/>
  <c r="AV85" i="22"/>
  <c r="AR12" i="22"/>
  <c r="AQ12" i="22"/>
  <c r="AU13" i="22"/>
  <c r="BA13" i="22" s="1"/>
  <c r="I18" i="22"/>
  <c r="AS17" i="22"/>
  <c r="I22" i="22"/>
  <c r="H27" i="22"/>
  <c r="I26" i="22"/>
  <c r="AV29" i="22"/>
  <c r="AU36" i="22"/>
  <c r="AT41" i="22"/>
  <c r="BG41" i="22"/>
  <c r="AA41" i="22" s="1"/>
  <c r="H48" i="22"/>
  <c r="H47" i="22" s="1"/>
  <c r="H54" i="22"/>
  <c r="H53" i="22" s="1"/>
  <c r="AS56" i="22"/>
  <c r="AV69" i="22"/>
  <c r="J71" i="22"/>
  <c r="AQ71" i="22"/>
  <c r="I81" i="22"/>
  <c r="I83" i="22"/>
  <c r="AS79" i="22"/>
  <c r="I85" i="22"/>
  <c r="I12" i="22"/>
  <c r="AT24" i="22"/>
  <c r="AV32" i="22"/>
  <c r="H74" i="22"/>
  <c r="AV81" i="22"/>
  <c r="I86" i="22"/>
  <c r="I15" i="22"/>
  <c r="AR26" i="22"/>
  <c r="AQ26" i="22"/>
  <c r="AU27" i="22"/>
  <c r="BA27" i="22" s="1"/>
  <c r="I32" i="22"/>
  <c r="H31" i="22"/>
  <c r="AU34" i="22"/>
  <c r="AT34" i="22" s="1"/>
  <c r="AV36" i="22"/>
  <c r="AT36" i="22" s="1"/>
  <c r="AQ40" i="22"/>
  <c r="AU41" i="22"/>
  <c r="AU48" i="22"/>
  <c r="AU54" i="22"/>
  <c r="I66" i="22"/>
  <c r="I65" i="22" s="1"/>
  <c r="H88" i="22"/>
  <c r="H86" i="22" s="1"/>
  <c r="AU88" i="22"/>
  <c r="H90" i="22"/>
  <c r="H89" i="22" s="1"/>
  <c r="AV13" i="23"/>
  <c r="H15" i="23"/>
  <c r="AV17" i="23"/>
  <c r="H19" i="23"/>
  <c r="AS24" i="23"/>
  <c r="AS33" i="23"/>
  <c r="AV48" i="23"/>
  <c r="H50" i="23"/>
  <c r="AV52" i="23"/>
  <c r="AQ63" i="23"/>
  <c r="AU15" i="23"/>
  <c r="BA15" i="23" s="1"/>
  <c r="AU19" i="23"/>
  <c r="J33" i="23"/>
  <c r="H39" i="23"/>
  <c r="AV45" i="23"/>
  <c r="AU50" i="23"/>
  <c r="AV55" i="23"/>
  <c r="I64" i="23"/>
  <c r="I63" i="23" s="1"/>
  <c r="I68" i="23"/>
  <c r="AV77" i="23"/>
  <c r="H79" i="23"/>
  <c r="AQ84" i="23"/>
  <c r="I86" i="23"/>
  <c r="H93" i="23"/>
  <c r="AU93" i="23"/>
  <c r="I13" i="23"/>
  <c r="AS12" i="23"/>
  <c r="I17" i="23"/>
  <c r="H25" i="23"/>
  <c r="AV27" i="23"/>
  <c r="AI34" i="23"/>
  <c r="AR33" i="23" s="1"/>
  <c r="J38" i="23"/>
  <c r="AQ38" i="23"/>
  <c r="AU39" i="23"/>
  <c r="BA39" i="23" s="1"/>
  <c r="I48" i="23"/>
  <c r="I47" i="23" s="1"/>
  <c r="AS47" i="23"/>
  <c r="I52" i="23"/>
  <c r="AQ76" i="23"/>
  <c r="I82" i="23"/>
  <c r="I81" i="23" s="1"/>
  <c r="H85" i="23"/>
  <c r="H92" i="23"/>
  <c r="H91" i="23" s="1"/>
  <c r="I93" i="23"/>
  <c r="I91" i="23" s="1"/>
  <c r="AS91" i="23"/>
  <c r="BG27" i="6"/>
  <c r="AA27" i="6" s="1"/>
  <c r="AV27" i="6"/>
  <c r="BG105" i="6"/>
  <c r="AA105" i="6" s="1"/>
  <c r="AV105" i="6"/>
  <c r="AT105" i="6" s="1"/>
  <c r="I112" i="6"/>
  <c r="AV112" i="6"/>
  <c r="BG182" i="6"/>
  <c r="I182" i="6"/>
  <c r="H196" i="6"/>
  <c r="AU196" i="6"/>
  <c r="AR111" i="6"/>
  <c r="BF161" i="6"/>
  <c r="AD161" i="6" s="1"/>
  <c r="H161" i="6"/>
  <c r="H160" i="6" s="1"/>
  <c r="AU161" i="6"/>
  <c r="BF21" i="6"/>
  <c r="Z21" i="6" s="1"/>
  <c r="AU21" i="6"/>
  <c r="AT21" i="6" s="1"/>
  <c r="BG45" i="6"/>
  <c r="AA45" i="6" s="1"/>
  <c r="AV45" i="6"/>
  <c r="AT45" i="6" s="1"/>
  <c r="BF68" i="6"/>
  <c r="Z68" i="6" s="1"/>
  <c r="AU68" i="6"/>
  <c r="BA68" i="6" s="1"/>
  <c r="H68" i="6"/>
  <c r="BF103" i="6"/>
  <c r="Z103" i="6" s="1"/>
  <c r="AU103" i="6"/>
  <c r="H103" i="6"/>
  <c r="H100" i="6" s="1"/>
  <c r="BF136" i="6"/>
  <c r="Z136" i="6" s="1"/>
  <c r="H136" i="6"/>
  <c r="AU136" i="6"/>
  <c r="BA136" i="6" s="1"/>
  <c r="BG148" i="6"/>
  <c r="I148" i="6"/>
  <c r="I147" i="6" s="1"/>
  <c r="AV148" i="6"/>
  <c r="H175" i="6"/>
  <c r="AU175" i="6"/>
  <c r="AT175" i="6" s="1"/>
  <c r="AR170" i="6"/>
  <c r="H191" i="6"/>
  <c r="AU191" i="6"/>
  <c r="BF35" i="6"/>
  <c r="Z35" i="6" s="1"/>
  <c r="H35" i="6"/>
  <c r="AU35" i="6"/>
  <c r="AJ55" i="6"/>
  <c r="J54" i="6"/>
  <c r="AJ79" i="6"/>
  <c r="AS78" i="6" s="1"/>
  <c r="J78" i="6"/>
  <c r="BA126" i="6"/>
  <c r="AT126" i="6"/>
  <c r="BF144" i="6"/>
  <c r="H144" i="6"/>
  <c r="AU144" i="6"/>
  <c r="BF200" i="6"/>
  <c r="H200" i="6"/>
  <c r="AU200" i="6"/>
  <c r="BF25" i="6"/>
  <c r="Z25" i="6" s="1"/>
  <c r="AU25" i="6"/>
  <c r="AT25" i="6" s="1"/>
  <c r="H25" i="6"/>
  <c r="BF132" i="6"/>
  <c r="Z132" i="6" s="1"/>
  <c r="AU132" i="6"/>
  <c r="BF186" i="6"/>
  <c r="H186" i="6"/>
  <c r="AU186" i="6"/>
  <c r="BF190" i="6"/>
  <c r="H190" i="6"/>
  <c r="AU190" i="6"/>
  <c r="J18" i="6"/>
  <c r="BG16" i="6"/>
  <c r="AA16" i="6" s="1"/>
  <c r="AV16" i="6"/>
  <c r="AT16" i="6" s="1"/>
  <c r="AQ18" i="6"/>
  <c r="AV19" i="6"/>
  <c r="H21" i="6"/>
  <c r="BF32" i="6"/>
  <c r="Z32" i="6" s="1"/>
  <c r="H32" i="6"/>
  <c r="H31" i="6" s="1"/>
  <c r="AU32" i="6"/>
  <c r="BA118" i="6"/>
  <c r="AT118" i="6"/>
  <c r="H120" i="6"/>
  <c r="AU120" i="6"/>
  <c r="H128" i="6"/>
  <c r="AU128" i="6"/>
  <c r="AT128" i="6" s="1"/>
  <c r="AR140" i="6"/>
  <c r="AQ147" i="6"/>
  <c r="BF158" i="6"/>
  <c r="AD158" i="6" s="1"/>
  <c r="H158" i="6"/>
  <c r="H157" i="6" s="1"/>
  <c r="AU158" i="6"/>
  <c r="BA179" i="6"/>
  <c r="AT179" i="6"/>
  <c r="AR34" i="6"/>
  <c r="AR54" i="6"/>
  <c r="AQ54" i="6"/>
  <c r="AT136" i="6"/>
  <c r="BA16" i="6"/>
  <c r="H29" i="6"/>
  <c r="J34" i="6"/>
  <c r="AQ34" i="6"/>
  <c r="H39" i="6"/>
  <c r="H34" i="6" s="1"/>
  <c r="AV41" i="6"/>
  <c r="H43" i="6"/>
  <c r="BA45" i="6"/>
  <c r="AV52" i="6"/>
  <c r="AV63" i="6"/>
  <c r="H65" i="6"/>
  <c r="AS67" i="6"/>
  <c r="AQ67" i="6"/>
  <c r="H101" i="6"/>
  <c r="H138" i="6"/>
  <c r="H137" i="6" s="1"/>
  <c r="AV146" i="6"/>
  <c r="AR147" i="6"/>
  <c r="J147" i="6"/>
  <c r="J170" i="6"/>
  <c r="AV176" i="6"/>
  <c r="AT178" i="6"/>
  <c r="BG178" i="6"/>
  <c r="H182" i="6"/>
  <c r="I183" i="6"/>
  <c r="I187" i="6"/>
  <c r="AV193" i="6"/>
  <c r="H194" i="6"/>
  <c r="AV197" i="6"/>
  <c r="H198" i="6"/>
  <c r="I199" i="6"/>
  <c r="AV202" i="6"/>
  <c r="AQ78" i="6"/>
  <c r="AQ91" i="6"/>
  <c r="AR91" i="6"/>
  <c r="J91" i="6"/>
  <c r="J140" i="6"/>
  <c r="AQ163" i="6"/>
  <c r="AR18" i="6"/>
  <c r="AV13" i="6"/>
  <c r="AU29" i="6"/>
  <c r="AV32" i="6"/>
  <c r="BA32" i="6" s="1"/>
  <c r="AU39" i="6"/>
  <c r="AT39" i="6" s="1"/>
  <c r="AU43" i="6"/>
  <c r="H47" i="6"/>
  <c r="H50" i="6"/>
  <c r="H49" i="6" s="1"/>
  <c r="AR49" i="6"/>
  <c r="AV59" i="6"/>
  <c r="H61" i="6"/>
  <c r="AU65" i="6"/>
  <c r="BA65" i="6" s="1"/>
  <c r="H74" i="6"/>
  <c r="I73" i="6"/>
  <c r="AV76" i="6"/>
  <c r="AV86" i="6"/>
  <c r="AU98" i="6"/>
  <c r="J100" i="6"/>
  <c r="AQ100" i="6"/>
  <c r="AU101" i="6"/>
  <c r="AV107" i="6"/>
  <c r="H109" i="6"/>
  <c r="AV114" i="6"/>
  <c r="H116" i="6"/>
  <c r="AV120" i="6"/>
  <c r="AV128" i="6"/>
  <c r="AU138" i="6"/>
  <c r="AU141" i="6"/>
  <c r="AT141" i="6" s="1"/>
  <c r="AV142" i="6"/>
  <c r="I146" i="6"/>
  <c r="H147" i="6"/>
  <c r="AU151" i="6"/>
  <c r="AV166" i="6"/>
  <c r="H168" i="6"/>
  <c r="I175" i="6"/>
  <c r="AV175" i="6"/>
  <c r="AU178" i="6"/>
  <c r="I191" i="6"/>
  <c r="AV191" i="6"/>
  <c r="AU195" i="6"/>
  <c r="AV196" i="6"/>
  <c r="I202" i="6"/>
  <c r="L17" i="16"/>
  <c r="BF31" i="16"/>
  <c r="Z31" i="16" s="1"/>
  <c r="H46" i="16"/>
  <c r="H45" i="16" s="1"/>
  <c r="AU49" i="16"/>
  <c r="H61" i="16"/>
  <c r="H60" i="16" s="1"/>
  <c r="AV68" i="16"/>
  <c r="J75" i="16"/>
  <c r="AQ35" i="16"/>
  <c r="AU56" i="16"/>
  <c r="AU61" i="16"/>
  <c r="AU67" i="16"/>
  <c r="L75" i="16"/>
  <c r="H12" i="16"/>
  <c r="BD43" i="16"/>
  <c r="BD49" i="16"/>
  <c r="L51" i="16"/>
  <c r="BD54" i="16"/>
  <c r="AV58" i="16"/>
  <c r="H67" i="16"/>
  <c r="AV70" i="16"/>
  <c r="AR35" i="16"/>
  <c r="I12" i="16"/>
  <c r="AU15" i="16"/>
  <c r="J17" i="16"/>
  <c r="AQ17" i="16"/>
  <c r="AU22" i="16"/>
  <c r="I27" i="16"/>
  <c r="I26" i="16" s="1"/>
  <c r="AS26" i="16"/>
  <c r="H31" i="16"/>
  <c r="J35" i="16"/>
  <c r="BF36" i="16"/>
  <c r="Z36" i="16" s="1"/>
  <c r="AU43" i="16"/>
  <c r="AV49" i="16"/>
  <c r="H54" i="16"/>
  <c r="AU54" i="16"/>
  <c r="AV56" i="16"/>
  <c r="J63" i="16"/>
  <c r="I67" i="16"/>
  <c r="AS66" i="16"/>
  <c r="H73" i="16"/>
  <c r="H72" i="16" s="1"/>
  <c r="AI73" i="16"/>
  <c r="AR72" i="16" s="1"/>
  <c r="AU73" i="16"/>
  <c r="AU74" i="16"/>
  <c r="AR26" i="16"/>
  <c r="AV38" i="16"/>
  <c r="AT38" i="16" s="1"/>
  <c r="AI61" i="16"/>
  <c r="AR60" i="16" s="1"/>
  <c r="L72" i="16"/>
  <c r="BD74" i="16"/>
  <c r="J12" i="16"/>
  <c r="L12" i="16"/>
  <c r="AV15" i="16"/>
  <c r="AI18" i="16"/>
  <c r="AR17" i="16" s="1"/>
  <c r="AU18" i="16"/>
  <c r="AT18" i="16" s="1"/>
  <c r="H20" i="16"/>
  <c r="AS17" i="16"/>
  <c r="AU20" i="16"/>
  <c r="AV22" i="16"/>
  <c r="BA22" i="16" s="1"/>
  <c r="AU29" i="16"/>
  <c r="BF29" i="16"/>
  <c r="Z29" i="16" s="1"/>
  <c r="AQ26" i="16"/>
  <c r="H33" i="16"/>
  <c r="L35" i="16"/>
  <c r="AU36" i="16"/>
  <c r="AV43" i="16"/>
  <c r="I49" i="16"/>
  <c r="I48" i="16" s="1"/>
  <c r="I54" i="16"/>
  <c r="AS51" i="16"/>
  <c r="I56" i="16"/>
  <c r="I61" i="16"/>
  <c r="I60" i="16" s="1"/>
  <c r="I73" i="16"/>
  <c r="I74" i="16"/>
  <c r="AV74" i="16"/>
  <c r="L26" i="16"/>
  <c r="J51" i="16"/>
  <c r="H15" i="24"/>
  <c r="J23" i="24"/>
  <c r="F41" i="4" s="1"/>
  <c r="I21" i="24"/>
  <c r="I20" i="24" s="1"/>
  <c r="AU13" i="24"/>
  <c r="L15" i="24"/>
  <c r="AU18" i="24"/>
  <c r="AU16" i="24"/>
  <c r="AU21" i="24"/>
  <c r="AI13" i="24"/>
  <c r="AR12" i="24" s="1"/>
  <c r="AI18" i="24"/>
  <c r="AR15" i="24" s="1"/>
  <c r="AI21" i="24"/>
  <c r="AR20" i="24" s="1"/>
  <c r="AV13" i="24"/>
  <c r="AT13" i="24" s="1"/>
  <c r="AV16" i="24"/>
  <c r="AT16" i="24" s="1"/>
  <c r="AV18" i="24"/>
  <c r="AV21" i="24"/>
  <c r="AR12" i="23"/>
  <c r="BA19" i="23"/>
  <c r="AT19" i="23"/>
  <c r="AT31" i="23"/>
  <c r="BA31" i="23"/>
  <c r="AT17" i="23"/>
  <c r="BA17" i="23"/>
  <c r="BA25" i="23"/>
  <c r="AT25" i="23"/>
  <c r="BG19" i="23"/>
  <c r="AA19" i="23" s="1"/>
  <c r="BG25" i="23"/>
  <c r="AA25" i="23" s="1"/>
  <c r="BG39" i="23"/>
  <c r="AA39" i="23" s="1"/>
  <c r="AU45" i="23"/>
  <c r="H45" i="23"/>
  <c r="H38" i="23" s="1"/>
  <c r="AU52" i="23"/>
  <c r="H52" i="23"/>
  <c r="AU13" i="23"/>
  <c r="BD13" i="23"/>
  <c r="AV15" i="23"/>
  <c r="H17" i="23"/>
  <c r="I19" i="23"/>
  <c r="I12" i="23" s="1"/>
  <c r="J21" i="23"/>
  <c r="I25" i="23"/>
  <c r="I24" i="23" s="1"/>
  <c r="AI25" i="23"/>
  <c r="AR24" i="23" s="1"/>
  <c r="AU27" i="23"/>
  <c r="H31" i="23"/>
  <c r="H24" i="23" s="1"/>
  <c r="AU34" i="23"/>
  <c r="BD34" i="23"/>
  <c r="AV36" i="23"/>
  <c r="AT36" i="23" s="1"/>
  <c r="I39" i="23"/>
  <c r="AI39" i="23"/>
  <c r="AR38" i="23" s="1"/>
  <c r="AU41" i="23"/>
  <c r="BF41" i="23"/>
  <c r="Z41" i="23" s="1"/>
  <c r="I43" i="23"/>
  <c r="BG43" i="23"/>
  <c r="AA43" i="23" s="1"/>
  <c r="AV43" i="23"/>
  <c r="BD64" i="23"/>
  <c r="L63" i="23"/>
  <c r="AU77" i="23"/>
  <c r="H77" i="23"/>
  <c r="H76" i="23" s="1"/>
  <c r="BF77" i="23"/>
  <c r="Z77" i="23" s="1"/>
  <c r="AI82" i="23"/>
  <c r="AR81" i="23" s="1"/>
  <c r="J81" i="23"/>
  <c r="BF17" i="23"/>
  <c r="Z17" i="23" s="1"/>
  <c r="BD77" i="23"/>
  <c r="L76" i="23"/>
  <c r="J12" i="23"/>
  <c r="BF13" i="23"/>
  <c r="Z13" i="23" s="1"/>
  <c r="BG15" i="23"/>
  <c r="AA15" i="23" s="1"/>
  <c r="BA22" i="23"/>
  <c r="BG22" i="23"/>
  <c r="AA22" i="23" s="1"/>
  <c r="BF27" i="23"/>
  <c r="Z27" i="23" s="1"/>
  <c r="BA29" i="23"/>
  <c r="BG29" i="23"/>
  <c r="AA29" i="23" s="1"/>
  <c r="BF34" i="23"/>
  <c r="Z34" i="23" s="1"/>
  <c r="BA36" i="23"/>
  <c r="BG36" i="23"/>
  <c r="AA36" i="23" s="1"/>
  <c r="AU43" i="23"/>
  <c r="AI50" i="23"/>
  <c r="AR47" i="23" s="1"/>
  <c r="J47" i="23"/>
  <c r="AU58" i="23"/>
  <c r="H58" i="23"/>
  <c r="H57" i="23" s="1"/>
  <c r="BF58" i="23"/>
  <c r="Z58" i="23" s="1"/>
  <c r="AV66" i="23"/>
  <c r="I66" i="23"/>
  <c r="BG66" i="23"/>
  <c r="AA66" i="23" s="1"/>
  <c r="BD71" i="23"/>
  <c r="L70" i="23"/>
  <c r="AV85" i="23"/>
  <c r="I85" i="23"/>
  <c r="AI88" i="23"/>
  <c r="AR84" i="23" s="1"/>
  <c r="J84" i="23"/>
  <c r="AU90" i="23"/>
  <c r="H90" i="23"/>
  <c r="H84" i="23" s="1"/>
  <c r="BF90" i="23"/>
  <c r="AI93" i="23"/>
  <c r="AR91" i="23" s="1"/>
  <c r="J91" i="23"/>
  <c r="AV95" i="23"/>
  <c r="I95" i="23"/>
  <c r="I94" i="23" s="1"/>
  <c r="BF31" i="23"/>
  <c r="Z31" i="23" s="1"/>
  <c r="BF45" i="23"/>
  <c r="Z45" i="23" s="1"/>
  <c r="BF52" i="23"/>
  <c r="Z52" i="23" s="1"/>
  <c r="BD58" i="23"/>
  <c r="L57" i="23"/>
  <c r="AU71" i="23"/>
  <c r="H71" i="23"/>
  <c r="H70" i="23" s="1"/>
  <c r="AV79" i="23"/>
  <c r="I79" i="23"/>
  <c r="I76" i="23" s="1"/>
  <c r="L47" i="23"/>
  <c r="AU64" i="23"/>
  <c r="H64" i="23"/>
  <c r="H63" i="23" s="1"/>
  <c r="BF64" i="23"/>
  <c r="Z64" i="23" s="1"/>
  <c r="AR63" i="23"/>
  <c r="AR76" i="23"/>
  <c r="BG79" i="23"/>
  <c r="AA79" i="23" s="1"/>
  <c r="AU48" i="23"/>
  <c r="BD48" i="23"/>
  <c r="AV50" i="23"/>
  <c r="BA50" i="23" s="1"/>
  <c r="AU55" i="23"/>
  <c r="BD55" i="23"/>
  <c r="AU61" i="23"/>
  <c r="BD61" i="23"/>
  <c r="AU68" i="23"/>
  <c r="AU74" i="23"/>
  <c r="AV82" i="23"/>
  <c r="AT82" i="23" s="1"/>
  <c r="AU86" i="23"/>
  <c r="AV88" i="23"/>
  <c r="BA88" i="23" s="1"/>
  <c r="AU92" i="23"/>
  <c r="AV93" i="23"/>
  <c r="AT93" i="23" s="1"/>
  <c r="BF48" i="23"/>
  <c r="Z48" i="23" s="1"/>
  <c r="BG50" i="23"/>
  <c r="AA50" i="23" s="1"/>
  <c r="BF55" i="23"/>
  <c r="Z55" i="23" s="1"/>
  <c r="BF61" i="23"/>
  <c r="Z61" i="23" s="1"/>
  <c r="AV68" i="23"/>
  <c r="AV74" i="23"/>
  <c r="AU79" i="23"/>
  <c r="AU85" i="23"/>
  <c r="AV86" i="23"/>
  <c r="AV92" i="23"/>
  <c r="AU95" i="23"/>
  <c r="AT22" i="22"/>
  <c r="BA22" i="22"/>
  <c r="AR17" i="22"/>
  <c r="AT29" i="22"/>
  <c r="BA29" i="22"/>
  <c r="AR31" i="22"/>
  <c r="BF15" i="22"/>
  <c r="Z15" i="22" s="1"/>
  <c r="BG24" i="22"/>
  <c r="AA24" i="22" s="1"/>
  <c r="BF29" i="22"/>
  <c r="Z29" i="22" s="1"/>
  <c r="AV61" i="22"/>
  <c r="I61" i="22"/>
  <c r="I56" i="22" s="1"/>
  <c r="AU66" i="22"/>
  <c r="H66" i="22"/>
  <c r="H65" i="22" s="1"/>
  <c r="J12" i="22"/>
  <c r="AV13" i="22"/>
  <c r="AT13" i="22" s="1"/>
  <c r="H15" i="22"/>
  <c r="H12" i="22" s="1"/>
  <c r="AU18" i="22"/>
  <c r="BD18" i="22"/>
  <c r="AV20" i="22"/>
  <c r="AT20" i="22" s="1"/>
  <c r="H22" i="22"/>
  <c r="H17" i="22" s="1"/>
  <c r="I24" i="22"/>
  <c r="J26" i="22"/>
  <c r="AV27" i="22"/>
  <c r="H29" i="22"/>
  <c r="H26" i="22" s="1"/>
  <c r="AU32" i="22"/>
  <c r="BD32" i="22"/>
  <c r="BA34" i="22"/>
  <c r="J40" i="22"/>
  <c r="AI41" i="22"/>
  <c r="AR40" i="22" s="1"/>
  <c r="AV48" i="22"/>
  <c r="I48" i="22"/>
  <c r="I47" i="22" s="1"/>
  <c r="AI51" i="22"/>
  <c r="AR50" i="22" s="1"/>
  <c r="J50" i="22"/>
  <c r="AU59" i="22"/>
  <c r="H59" i="22"/>
  <c r="BF59" i="22"/>
  <c r="Z59" i="22" s="1"/>
  <c r="BG61" i="22"/>
  <c r="AA61" i="22" s="1"/>
  <c r="BD66" i="22"/>
  <c r="L65" i="22"/>
  <c r="AV80" i="22"/>
  <c r="I80" i="22"/>
  <c r="BF22" i="22"/>
  <c r="Z22" i="22" s="1"/>
  <c r="BF66" i="22"/>
  <c r="AB66" i="22" s="1"/>
  <c r="AR86" i="22"/>
  <c r="L12" i="22"/>
  <c r="BG13" i="22"/>
  <c r="AA13" i="22" s="1"/>
  <c r="J17" i="22"/>
  <c r="BF18" i="22"/>
  <c r="Z18" i="22" s="1"/>
  <c r="BG20" i="22"/>
  <c r="AA20" i="22" s="1"/>
  <c r="L26" i="22"/>
  <c r="BG27" i="22"/>
  <c r="AA27" i="22" s="1"/>
  <c r="J31" i="22"/>
  <c r="BF32" i="22"/>
  <c r="Z32" i="22" s="1"/>
  <c r="AV38" i="22"/>
  <c r="AT38" i="22" s="1"/>
  <c r="H56" i="22"/>
  <c r="AR71" i="22"/>
  <c r="AI83" i="22"/>
  <c r="AR79" i="22" s="1"/>
  <c r="J79" i="22"/>
  <c r="AU85" i="22"/>
  <c r="H85" i="22"/>
  <c r="H79" i="22" s="1"/>
  <c r="BF85" i="22"/>
  <c r="AI88" i="22"/>
  <c r="J86" i="22"/>
  <c r="AV90" i="22"/>
  <c r="I90" i="22"/>
  <c r="I89" i="22" s="1"/>
  <c r="AV54" i="22"/>
  <c r="I54" i="22"/>
  <c r="I53" i="22" s="1"/>
  <c r="AU72" i="22"/>
  <c r="H72" i="22"/>
  <c r="H71" i="22" s="1"/>
  <c r="AI77" i="22"/>
  <c r="AR76" i="22" s="1"/>
  <c r="J76" i="22"/>
  <c r="I34" i="22"/>
  <c r="I31" i="22" s="1"/>
  <c r="BA38" i="22"/>
  <c r="BG38" i="22"/>
  <c r="AA38" i="22" s="1"/>
  <c r="AS40" i="22"/>
  <c r="BA41" i="22"/>
  <c r="AI57" i="22"/>
  <c r="AR56" i="22" s="1"/>
  <c r="J56" i="22"/>
  <c r="BD59" i="22"/>
  <c r="L56" i="22"/>
  <c r="BD72" i="22"/>
  <c r="L71" i="22"/>
  <c r="AV74" i="22"/>
  <c r="I74" i="22"/>
  <c r="I71" i="22" s="1"/>
  <c r="AU43" i="22"/>
  <c r="AV45" i="22"/>
  <c r="BA45" i="22" s="1"/>
  <c r="AI48" i="22"/>
  <c r="AR47" i="22" s="1"/>
  <c r="AV51" i="22"/>
  <c r="BA51" i="22" s="1"/>
  <c r="AI54" i="22"/>
  <c r="AR53" i="22" s="1"/>
  <c r="AV57" i="22"/>
  <c r="AT57" i="22" s="1"/>
  <c r="AU63" i="22"/>
  <c r="AU69" i="22"/>
  <c r="BD69" i="22"/>
  <c r="AV77" i="22"/>
  <c r="BA77" i="22" s="1"/>
  <c r="AU81" i="22"/>
  <c r="AV83" i="22"/>
  <c r="AT83" i="22" s="1"/>
  <c r="AU87" i="22"/>
  <c r="AV88" i="22"/>
  <c r="BA88" i="22" s="1"/>
  <c r="BF43" i="22"/>
  <c r="Z43" i="22" s="1"/>
  <c r="BG45" i="22"/>
  <c r="AA45" i="22" s="1"/>
  <c r="BG51" i="22"/>
  <c r="AA51" i="22" s="1"/>
  <c r="BG57" i="22"/>
  <c r="AA57" i="22" s="1"/>
  <c r="BF63" i="22"/>
  <c r="Z63" i="22" s="1"/>
  <c r="BF69" i="22"/>
  <c r="Z69" i="22" s="1"/>
  <c r="AU74" i="22"/>
  <c r="AU80" i="22"/>
  <c r="AV87" i="22"/>
  <c r="AU90" i="22"/>
  <c r="AU15" i="21"/>
  <c r="BD24" i="21"/>
  <c r="BD29" i="21"/>
  <c r="L35" i="21"/>
  <c r="AU38" i="21"/>
  <c r="AU41" i="21"/>
  <c r="AU54" i="21"/>
  <c r="I57" i="21"/>
  <c r="I56" i="21" s="1"/>
  <c r="H60" i="21"/>
  <c r="H59" i="21" s="1"/>
  <c r="AI78" i="21"/>
  <c r="AR77" i="21" s="1"/>
  <c r="I89" i="21"/>
  <c r="I88" i="21" s="1"/>
  <c r="L91" i="21"/>
  <c r="I92" i="21"/>
  <c r="I91" i="21" s="1"/>
  <c r="AU98" i="21"/>
  <c r="I102" i="21"/>
  <c r="I101" i="21" s="1"/>
  <c r="H103" i="21"/>
  <c r="H101" i="21" s="1"/>
  <c r="H105" i="21"/>
  <c r="H104" i="21" s="1"/>
  <c r="BD41" i="21"/>
  <c r="AU13" i="21"/>
  <c r="AU21" i="21"/>
  <c r="J26" i="21"/>
  <c r="AU31" i="21"/>
  <c r="AU33" i="21"/>
  <c r="BA45" i="21"/>
  <c r="H50" i="21"/>
  <c r="H49" i="21" s="1"/>
  <c r="L59" i="21"/>
  <c r="L62" i="21"/>
  <c r="I63" i="21"/>
  <c r="I62" i="21" s="1"/>
  <c r="H66" i="21"/>
  <c r="H65" i="21" s="1"/>
  <c r="AU66" i="21"/>
  <c r="AU72" i="21"/>
  <c r="AU86" i="21"/>
  <c r="AU97" i="21"/>
  <c r="BA97" i="21" s="1"/>
  <c r="H99" i="21"/>
  <c r="AU99" i="21"/>
  <c r="L104" i="21"/>
  <c r="AU29" i="21"/>
  <c r="H33" i="21"/>
  <c r="H26" i="21" s="1"/>
  <c r="AU36" i="21"/>
  <c r="BA36" i="21" s="1"/>
  <c r="H43" i="21"/>
  <c r="H40" i="21" s="1"/>
  <c r="AT43" i="21"/>
  <c r="I45" i="21"/>
  <c r="I40" i="21" s="1"/>
  <c r="AV45" i="21"/>
  <c r="AT45" i="21" s="1"/>
  <c r="AU47" i="21"/>
  <c r="L49" i="21"/>
  <c r="I50" i="21"/>
  <c r="I49" i="21" s="1"/>
  <c r="AU50" i="21"/>
  <c r="AU52" i="21"/>
  <c r="AV57" i="21"/>
  <c r="L65" i="21"/>
  <c r="I66" i="21"/>
  <c r="I68" i="21"/>
  <c r="AU70" i="21"/>
  <c r="H72" i="21"/>
  <c r="H75" i="21"/>
  <c r="H74" i="21" s="1"/>
  <c r="AU75" i="21"/>
  <c r="L77" i="21"/>
  <c r="I78" i="21"/>
  <c r="I77" i="21" s="1"/>
  <c r="L80" i="21"/>
  <c r="I81" i="21"/>
  <c r="I80" i="21" s="1"/>
  <c r="H84" i="21"/>
  <c r="H83" i="21" s="1"/>
  <c r="AU84" i="21"/>
  <c r="AU89" i="21"/>
  <c r="AU92" i="21"/>
  <c r="AU93" i="21"/>
  <c r="AU95" i="21"/>
  <c r="H97" i="21"/>
  <c r="H91" i="21" s="1"/>
  <c r="I98" i="21"/>
  <c r="AI15" i="21"/>
  <c r="AI17" i="21"/>
  <c r="AI24" i="21"/>
  <c r="AR23" i="21" s="1"/>
  <c r="AI31" i="21"/>
  <c r="AI33" i="21"/>
  <c r="AV13" i="21"/>
  <c r="AT13" i="21" s="1"/>
  <c r="AV15" i="21"/>
  <c r="AV17" i="21"/>
  <c r="AV19" i="21"/>
  <c r="AT19" i="21" s="1"/>
  <c r="AV21" i="21"/>
  <c r="AT21" i="21" s="1"/>
  <c r="AV24" i="21"/>
  <c r="AT24" i="21" s="1"/>
  <c r="AV27" i="21"/>
  <c r="AT27" i="21" s="1"/>
  <c r="AV29" i="21"/>
  <c r="AV31" i="21"/>
  <c r="AT31" i="21" s="1"/>
  <c r="AV33" i="21"/>
  <c r="AT33" i="21" s="1"/>
  <c r="AI47" i="21"/>
  <c r="AI52" i="21"/>
  <c r="AR49" i="21" s="1"/>
  <c r="AI70" i="21"/>
  <c r="J74" i="21"/>
  <c r="J80" i="21"/>
  <c r="AI86" i="21"/>
  <c r="AR83" i="21" s="1"/>
  <c r="J88" i="21"/>
  <c r="J91" i="21"/>
  <c r="AI97" i="21"/>
  <c r="J104" i="21"/>
  <c r="J35" i="21"/>
  <c r="AT36" i="21"/>
  <c r="AI45" i="21"/>
  <c r="J49" i="21"/>
  <c r="J65" i="21"/>
  <c r="AI72" i="21"/>
  <c r="AI75" i="21"/>
  <c r="AR74" i="21" s="1"/>
  <c r="AI81" i="21"/>
  <c r="AR80" i="21" s="1"/>
  <c r="J83" i="21"/>
  <c r="AI89" i="21"/>
  <c r="AR88" i="21" s="1"/>
  <c r="AI92" i="21"/>
  <c r="AI98" i="21"/>
  <c r="AI103" i="21"/>
  <c r="AR101" i="21" s="1"/>
  <c r="AI105" i="21"/>
  <c r="AR104" i="21" s="1"/>
  <c r="AU57" i="21"/>
  <c r="AU60" i="21"/>
  <c r="AV60" i="21"/>
  <c r="AV63" i="21"/>
  <c r="AT63" i="21" s="1"/>
  <c r="AV66" i="21"/>
  <c r="AT66" i="21" s="1"/>
  <c r="AV68" i="21"/>
  <c r="AT68" i="21" s="1"/>
  <c r="AV70" i="21"/>
  <c r="AV72" i="21"/>
  <c r="AT72" i="21" s="1"/>
  <c r="AV78" i="21"/>
  <c r="AT78" i="21" s="1"/>
  <c r="AV81" i="21"/>
  <c r="AT81" i="21" s="1"/>
  <c r="AV84" i="21"/>
  <c r="AT84" i="21" s="1"/>
  <c r="AV86" i="21"/>
  <c r="AV89" i="21"/>
  <c r="AT89" i="21" s="1"/>
  <c r="AV92" i="21"/>
  <c r="AV93" i="21"/>
  <c r="AV95" i="21"/>
  <c r="AT95" i="21" s="1"/>
  <c r="AV97" i="21"/>
  <c r="AV98" i="21"/>
  <c r="AT98" i="21" s="1"/>
  <c r="AV99" i="21"/>
  <c r="AT99" i="21" s="1"/>
  <c r="AV102" i="21"/>
  <c r="AV103" i="21"/>
  <c r="AT103" i="21" s="1"/>
  <c r="AV105" i="21"/>
  <c r="AT105" i="21" s="1"/>
  <c r="AR19" i="20"/>
  <c r="AT25" i="20"/>
  <c r="AR33" i="20"/>
  <c r="AT45" i="20"/>
  <c r="BA45" i="20"/>
  <c r="AT17" i="20"/>
  <c r="BA17" i="20"/>
  <c r="AT31" i="20"/>
  <c r="BA31" i="20"/>
  <c r="I19" i="20"/>
  <c r="AT39" i="20"/>
  <c r="BA39" i="20"/>
  <c r="AV59" i="20"/>
  <c r="I59" i="20"/>
  <c r="I58" i="20" s="1"/>
  <c r="AT88" i="20"/>
  <c r="AU13" i="20"/>
  <c r="BD13" i="20"/>
  <c r="AV15" i="20"/>
  <c r="BA15" i="20" s="1"/>
  <c r="H17" i="20"/>
  <c r="H12" i="20" s="1"/>
  <c r="AU20" i="20"/>
  <c r="BD20" i="20"/>
  <c r="I25" i="20"/>
  <c r="I24" i="20" s="1"/>
  <c r="AI25" i="20"/>
  <c r="AR24" i="20" s="1"/>
  <c r="AU27" i="20"/>
  <c r="H31" i="20"/>
  <c r="BD34" i="20"/>
  <c r="I39" i="20"/>
  <c r="AI39" i="20"/>
  <c r="AR38" i="20" s="1"/>
  <c r="AU41" i="20"/>
  <c r="AV43" i="20"/>
  <c r="BA43" i="20" s="1"/>
  <c r="H45" i="20"/>
  <c r="I47" i="20"/>
  <c r="AI62" i="20"/>
  <c r="AR61" i="20" s="1"/>
  <c r="J61" i="20"/>
  <c r="AV65" i="20"/>
  <c r="I65" i="20"/>
  <c r="I64" i="20" s="1"/>
  <c r="BG65" i="20"/>
  <c r="AA65" i="20" s="1"/>
  <c r="AI68" i="20"/>
  <c r="AR67" i="20" s="1"/>
  <c r="J67" i="20"/>
  <c r="AV71" i="20"/>
  <c r="I71" i="20"/>
  <c r="I70" i="20" s="1"/>
  <c r="BG71" i="20"/>
  <c r="AA71" i="20" s="1"/>
  <c r="AV91" i="20"/>
  <c r="I91" i="20"/>
  <c r="I90" i="20" s="1"/>
  <c r="BG91" i="20"/>
  <c r="BF17" i="20"/>
  <c r="Z17" i="20" s="1"/>
  <c r="BF45" i="20"/>
  <c r="Z45" i="20" s="1"/>
  <c r="J12" i="20"/>
  <c r="BF13" i="20"/>
  <c r="Z13" i="20" s="1"/>
  <c r="BG15" i="20"/>
  <c r="AA15" i="20" s="1"/>
  <c r="J19" i="20"/>
  <c r="BF20" i="20"/>
  <c r="Z20" i="20" s="1"/>
  <c r="BA22" i="20"/>
  <c r="BG22" i="20"/>
  <c r="AA22" i="20" s="1"/>
  <c r="BF27" i="20"/>
  <c r="Z27" i="20" s="1"/>
  <c r="BG29" i="20"/>
  <c r="AA29" i="20" s="1"/>
  <c r="BF34" i="20"/>
  <c r="Z34" i="20" s="1"/>
  <c r="BA36" i="20"/>
  <c r="BG36" i="20"/>
  <c r="AA36" i="20" s="1"/>
  <c r="BF41" i="20"/>
  <c r="Z41" i="20" s="1"/>
  <c r="BG43" i="20"/>
  <c r="AA43" i="20" s="1"/>
  <c r="AV52" i="20"/>
  <c r="I52" i="20"/>
  <c r="I51" i="20" s="1"/>
  <c r="BG52" i="20"/>
  <c r="AA52" i="20" s="1"/>
  <c r="BD83" i="20"/>
  <c r="L82" i="20"/>
  <c r="AV85" i="20"/>
  <c r="I85" i="20"/>
  <c r="BG85" i="20"/>
  <c r="AA85" i="20" s="1"/>
  <c r="AU96" i="20"/>
  <c r="H96" i="20"/>
  <c r="BF96" i="20"/>
  <c r="AI99" i="20"/>
  <c r="J97" i="20"/>
  <c r="AV101" i="20"/>
  <c r="I101" i="20"/>
  <c r="I100" i="20" s="1"/>
  <c r="BG25" i="20"/>
  <c r="AA25" i="20" s="1"/>
  <c r="BF31" i="20"/>
  <c r="Z31" i="20" s="1"/>
  <c r="BG39" i="20"/>
  <c r="AA39" i="20" s="1"/>
  <c r="I82" i="20"/>
  <c r="AR97" i="20"/>
  <c r="AV47" i="20"/>
  <c r="BA47" i="20" s="1"/>
  <c r="J51" i="20"/>
  <c r="BG59" i="20"/>
  <c r="AA59" i="20" s="1"/>
  <c r="AU77" i="20"/>
  <c r="H77" i="20"/>
  <c r="BF77" i="20"/>
  <c r="Z77" i="20" s="1"/>
  <c r="AU83" i="20"/>
  <c r="H83" i="20"/>
  <c r="H82" i="20" s="1"/>
  <c r="BF83" i="20"/>
  <c r="Z83" i="20" s="1"/>
  <c r="AI88" i="20"/>
  <c r="AR87" i="20" s="1"/>
  <c r="J87" i="20"/>
  <c r="H90" i="20"/>
  <c r="AV49" i="20"/>
  <c r="BA49" i="20" s="1"/>
  <c r="AI52" i="20"/>
  <c r="AR51" i="20" s="1"/>
  <c r="AU54" i="20"/>
  <c r="AV56" i="20"/>
  <c r="AT56" i="20" s="1"/>
  <c r="AI59" i="20"/>
  <c r="AR58" i="20" s="1"/>
  <c r="AV62" i="20"/>
  <c r="AT62" i="20" s="1"/>
  <c r="AI65" i="20"/>
  <c r="AR64" i="20" s="1"/>
  <c r="AI71" i="20"/>
  <c r="AR70" i="20" s="1"/>
  <c r="AU73" i="20"/>
  <c r="AV75" i="20"/>
  <c r="AT75" i="20" s="1"/>
  <c r="AU80" i="20"/>
  <c r="BD80" i="20"/>
  <c r="AI91" i="20"/>
  <c r="AR90" i="20" s="1"/>
  <c r="AU92" i="20"/>
  <c r="AV94" i="20"/>
  <c r="AT94" i="20" s="1"/>
  <c r="AU98" i="20"/>
  <c r="AV99" i="20"/>
  <c r="BG49" i="20"/>
  <c r="AA49" i="20" s="1"/>
  <c r="AU59" i="20"/>
  <c r="AV73" i="20"/>
  <c r="AV92" i="20"/>
  <c r="AV98" i="20"/>
  <c r="AU101" i="20"/>
  <c r="AT24" i="16"/>
  <c r="BA24" i="16"/>
  <c r="BG18" i="16"/>
  <c r="AA18" i="16" s="1"/>
  <c r="BF24" i="16"/>
  <c r="Z24" i="16" s="1"/>
  <c r="BA36" i="16"/>
  <c r="AI43" i="16"/>
  <c r="AR42" i="16" s="1"/>
  <c r="J42" i="16"/>
  <c r="AU58" i="16"/>
  <c r="H58" i="16"/>
  <c r="H51" i="16" s="1"/>
  <c r="BF58" i="16"/>
  <c r="Z58" i="16" s="1"/>
  <c r="AU64" i="16"/>
  <c r="H64" i="16"/>
  <c r="H63" i="16" s="1"/>
  <c r="BF64" i="16"/>
  <c r="Z64" i="16" s="1"/>
  <c r="BF15" i="16"/>
  <c r="Z15" i="16" s="1"/>
  <c r="I18" i="16"/>
  <c r="I17" i="16" s="1"/>
  <c r="BF22" i="16"/>
  <c r="Z22" i="16" s="1"/>
  <c r="H24" i="16"/>
  <c r="BG24" i="16"/>
  <c r="AA24" i="16" s="1"/>
  <c r="AV31" i="16"/>
  <c r="BA31" i="16" s="1"/>
  <c r="BG31" i="16"/>
  <c r="AA31" i="16" s="1"/>
  <c r="AI49" i="16"/>
  <c r="AR48" i="16" s="1"/>
  <c r="J48" i="16"/>
  <c r="AR66" i="16"/>
  <c r="L66" i="16"/>
  <c r="AT68" i="16"/>
  <c r="BA68" i="16"/>
  <c r="AV13" i="16"/>
  <c r="AT13" i="16" s="1"/>
  <c r="BA15" i="16"/>
  <c r="J26" i="16"/>
  <c r="BA38" i="16"/>
  <c r="BF38" i="16"/>
  <c r="Z38" i="16" s="1"/>
  <c r="AV40" i="16"/>
  <c r="I40" i="16"/>
  <c r="I35" i="16" s="1"/>
  <c r="BA49" i="16"/>
  <c r="AV52" i="16"/>
  <c r="I52" i="16"/>
  <c r="I66" i="16"/>
  <c r="AV76" i="16"/>
  <c r="I76" i="16"/>
  <c r="I75" i="16" s="1"/>
  <c r="BG33" i="16"/>
  <c r="AA33" i="16" s="1"/>
  <c r="BD36" i="16"/>
  <c r="H38" i="16"/>
  <c r="H35" i="16" s="1"/>
  <c r="AV46" i="16"/>
  <c r="I46" i="16"/>
  <c r="I45" i="16" s="1"/>
  <c r="AR51" i="16"/>
  <c r="BD64" i="16"/>
  <c r="L63" i="16"/>
  <c r="J66" i="16"/>
  <c r="AU70" i="16"/>
  <c r="H70" i="16"/>
  <c r="H66" i="16" s="1"/>
  <c r="BF70" i="16"/>
  <c r="BG38" i="16"/>
  <c r="AA38" i="16" s="1"/>
  <c r="BF43" i="16"/>
  <c r="Z43" i="16" s="1"/>
  <c r="BF49" i="16"/>
  <c r="Z49" i="16" s="1"/>
  <c r="BF56" i="16"/>
  <c r="Z56" i="16" s="1"/>
  <c r="BG58" i="16"/>
  <c r="AA58" i="16" s="1"/>
  <c r="BG64" i="16"/>
  <c r="AA64" i="16" s="1"/>
  <c r="BF68" i="16"/>
  <c r="BG70" i="16"/>
  <c r="BF74" i="16"/>
  <c r="AV27" i="16"/>
  <c r="AT27" i="16" s="1"/>
  <c r="AU33" i="16"/>
  <c r="AU40" i="16"/>
  <c r="AU46" i="16"/>
  <c r="AU52" i="16"/>
  <c r="AV54" i="16"/>
  <c r="AV61" i="16"/>
  <c r="AT61" i="16" s="1"/>
  <c r="AV67" i="16"/>
  <c r="AT67" i="16" s="1"/>
  <c r="AV73" i="16"/>
  <c r="AU76" i="16"/>
  <c r="BD36" i="15"/>
  <c r="I43" i="15"/>
  <c r="I40" i="15" s="1"/>
  <c r="H47" i="15"/>
  <c r="H40" i="15" s="1"/>
  <c r="AU52" i="15"/>
  <c r="AU57" i="15"/>
  <c r="L65" i="15"/>
  <c r="H75" i="15"/>
  <c r="H74" i="15" s="1"/>
  <c r="I78" i="15"/>
  <c r="I77" i="15" s="1"/>
  <c r="AU81" i="15"/>
  <c r="AU82" i="15"/>
  <c r="I87" i="15"/>
  <c r="I88" i="15"/>
  <c r="J12" i="15"/>
  <c r="H13" i="15"/>
  <c r="H12" i="15" s="1"/>
  <c r="AU13" i="15"/>
  <c r="AU15" i="15"/>
  <c r="H29" i="15"/>
  <c r="H26" i="15" s="1"/>
  <c r="AU29" i="15"/>
  <c r="AU31" i="15"/>
  <c r="H50" i="15"/>
  <c r="AU50" i="15"/>
  <c r="H54" i="15"/>
  <c r="AU54" i="15"/>
  <c r="L56" i="15"/>
  <c r="I57" i="15"/>
  <c r="I56" i="15" s="1"/>
  <c r="AU63" i="15"/>
  <c r="BA63" i="15" s="1"/>
  <c r="L74" i="15"/>
  <c r="J89" i="15"/>
  <c r="H15" i="15"/>
  <c r="I27" i="15"/>
  <c r="I26" i="15" s="1"/>
  <c r="H31" i="15"/>
  <c r="AU33" i="15"/>
  <c r="AU36" i="15"/>
  <c r="J40" i="15"/>
  <c r="AU41" i="15"/>
  <c r="L49" i="15"/>
  <c r="H63" i="15"/>
  <c r="H62" i="15" s="1"/>
  <c r="AU68" i="15"/>
  <c r="AU72" i="15"/>
  <c r="J77" i="15"/>
  <c r="AU78" i="15"/>
  <c r="I81" i="15"/>
  <c r="I82" i="15"/>
  <c r="I84" i="15"/>
  <c r="AU87" i="15"/>
  <c r="AU88" i="15"/>
  <c r="AI15" i="15"/>
  <c r="AI24" i="15"/>
  <c r="AR23" i="15" s="1"/>
  <c r="J23" i="15"/>
  <c r="AI36" i="15"/>
  <c r="AR35" i="15" s="1"/>
  <c r="J35" i="15"/>
  <c r="AI52" i="15"/>
  <c r="AR49" i="15" s="1"/>
  <c r="AI19" i="15"/>
  <c r="AI68" i="15"/>
  <c r="AI60" i="15"/>
  <c r="AR59" i="15" s="1"/>
  <c r="J59" i="15"/>
  <c r="AI72" i="15"/>
  <c r="J26" i="15"/>
  <c r="J62" i="15"/>
  <c r="J74" i="15"/>
  <c r="AI27" i="15"/>
  <c r="AI31" i="15"/>
  <c r="AI43" i="15"/>
  <c r="AI47" i="15"/>
  <c r="J49" i="15"/>
  <c r="AI63" i="15"/>
  <c r="AR62" i="15" s="1"/>
  <c r="J65" i="15"/>
  <c r="AI75" i="15"/>
  <c r="AR74" i="15" s="1"/>
  <c r="AI81" i="15"/>
  <c r="AI84" i="15"/>
  <c r="AV13" i="15"/>
  <c r="AT13" i="15" s="1"/>
  <c r="AV15" i="15"/>
  <c r="AT15" i="15" s="1"/>
  <c r="AV17" i="15"/>
  <c r="AT17" i="15" s="1"/>
  <c r="AV19" i="15"/>
  <c r="AT19" i="15" s="1"/>
  <c r="AV21" i="15"/>
  <c r="AT21" i="15" s="1"/>
  <c r="AV24" i="15"/>
  <c r="AT24" i="15" s="1"/>
  <c r="AV27" i="15"/>
  <c r="AT27" i="15" s="1"/>
  <c r="AV29" i="15"/>
  <c r="AT29" i="15" s="1"/>
  <c r="AV31" i="15"/>
  <c r="AT31" i="15" s="1"/>
  <c r="AV33" i="15"/>
  <c r="AT33" i="15" s="1"/>
  <c r="AV36" i="15"/>
  <c r="AT36" i="15" s="1"/>
  <c r="AV38" i="15"/>
  <c r="AT38" i="15" s="1"/>
  <c r="AV41" i="15"/>
  <c r="AT41" i="15" s="1"/>
  <c r="AV43" i="15"/>
  <c r="AV45" i="15"/>
  <c r="AT45" i="15" s="1"/>
  <c r="AV47" i="15"/>
  <c r="AT47" i="15" s="1"/>
  <c r="AV50" i="15"/>
  <c r="AV52" i="15"/>
  <c r="AT52" i="15" s="1"/>
  <c r="AV54" i="15"/>
  <c r="AT54" i="15" s="1"/>
  <c r="AV57" i="15"/>
  <c r="AT57" i="15" s="1"/>
  <c r="AV60" i="15"/>
  <c r="AT60" i="15" s="1"/>
  <c r="AV63" i="15"/>
  <c r="AV66" i="15"/>
  <c r="AT66" i="15" s="1"/>
  <c r="AV68" i="15"/>
  <c r="AT68" i="15" s="1"/>
  <c r="AV70" i="15"/>
  <c r="AT70" i="15" s="1"/>
  <c r="AV72" i="15"/>
  <c r="AV75" i="15"/>
  <c r="AT75" i="15" s="1"/>
  <c r="AV78" i="15"/>
  <c r="AT78" i="15" s="1"/>
  <c r="AV81" i="15"/>
  <c r="AV82" i="15"/>
  <c r="AV84" i="15"/>
  <c r="AT84" i="15" s="1"/>
  <c r="AV87" i="15"/>
  <c r="AT87" i="15" s="1"/>
  <c r="AV88" i="15"/>
  <c r="AV90" i="15"/>
  <c r="AV88" i="14"/>
  <c r="I88" i="14"/>
  <c r="BG88" i="14"/>
  <c r="J12" i="14"/>
  <c r="AR12" i="14"/>
  <c r="AV13" i="14"/>
  <c r="BA13" i="14" s="1"/>
  <c r="BG13" i="14"/>
  <c r="AA13" i="14" s="1"/>
  <c r="BA24" i="14"/>
  <c r="H27" i="14"/>
  <c r="H26" i="14" s="1"/>
  <c r="BF27" i="14"/>
  <c r="Z27" i="14" s="1"/>
  <c r="AT33" i="14"/>
  <c r="BA33" i="14"/>
  <c r="AT47" i="14"/>
  <c r="BA47" i="14"/>
  <c r="AV63" i="14"/>
  <c r="I63" i="14"/>
  <c r="I62" i="14" s="1"/>
  <c r="BG63" i="14"/>
  <c r="AA63" i="14" s="1"/>
  <c r="AV70" i="14"/>
  <c r="I70" i="14"/>
  <c r="I65" i="14" s="1"/>
  <c r="BG70" i="14"/>
  <c r="AA70" i="14" s="1"/>
  <c r="AI66" i="14"/>
  <c r="AR65" i="14" s="1"/>
  <c r="J65" i="14"/>
  <c r="AU87" i="14"/>
  <c r="H87" i="14"/>
  <c r="H86" i="14" s="1"/>
  <c r="BF87" i="14"/>
  <c r="L12" i="14"/>
  <c r="H21" i="14"/>
  <c r="H12" i="14" s="1"/>
  <c r="BF21" i="14"/>
  <c r="Z21" i="14" s="1"/>
  <c r="J26" i="14"/>
  <c r="AR26" i="14"/>
  <c r="AQ26" i="14"/>
  <c r="AV27" i="14"/>
  <c r="AT27" i="14" s="1"/>
  <c r="BG27" i="14"/>
  <c r="AA27" i="14" s="1"/>
  <c r="I29" i="14"/>
  <c r="J40" i="14"/>
  <c r="BA45" i="14"/>
  <c r="AT45" i="14"/>
  <c r="AT13" i="14"/>
  <c r="BG15" i="14"/>
  <c r="AA15" i="14" s="1"/>
  <c r="AU19" i="14"/>
  <c r="BF19" i="14"/>
  <c r="Z19" i="14" s="1"/>
  <c r="BG29" i="14"/>
  <c r="AA29" i="14" s="1"/>
  <c r="AV50" i="14"/>
  <c r="I50" i="14"/>
  <c r="I49" i="14" s="1"/>
  <c r="BG50" i="14"/>
  <c r="AA50" i="14" s="1"/>
  <c r="AU68" i="14"/>
  <c r="BF68" i="14"/>
  <c r="Z68" i="14" s="1"/>
  <c r="AI84" i="14"/>
  <c r="AR80" i="14" s="1"/>
  <c r="J80" i="14"/>
  <c r="BA54" i="14"/>
  <c r="AQ65" i="14"/>
  <c r="AT66" i="14"/>
  <c r="I86" i="14"/>
  <c r="AU15" i="14"/>
  <c r="AV17" i="14"/>
  <c r="BA17" i="14" s="1"/>
  <c r="AV24" i="14"/>
  <c r="AT24" i="14" s="1"/>
  <c r="BG36" i="14"/>
  <c r="AA36" i="14" s="1"/>
  <c r="AI38" i="14"/>
  <c r="AR35" i="14" s="1"/>
  <c r="AR49" i="14"/>
  <c r="BD60" i="14"/>
  <c r="AV68" i="14"/>
  <c r="BG68" i="14"/>
  <c r="AA68" i="14" s="1"/>
  <c r="H75" i="14"/>
  <c r="H74" i="14" s="1"/>
  <c r="BF75" i="14"/>
  <c r="Z75" i="14" s="1"/>
  <c r="AT81" i="14"/>
  <c r="AQ86" i="14"/>
  <c r="AV87" i="14"/>
  <c r="BG87" i="14"/>
  <c r="BF29" i="14"/>
  <c r="Z29" i="14" s="1"/>
  <c r="AU29" i="14"/>
  <c r="I40" i="14"/>
  <c r="AU60" i="14"/>
  <c r="BF60" i="14"/>
  <c r="Z60" i="14" s="1"/>
  <c r="H65" i="14"/>
  <c r="I80" i="14"/>
  <c r="BG82" i="14"/>
  <c r="AV31" i="14"/>
  <c r="AU36" i="14"/>
  <c r="AV38" i="14"/>
  <c r="BA38" i="14" s="1"/>
  <c r="BF52" i="14"/>
  <c r="Z52" i="14" s="1"/>
  <c r="BG54" i="14"/>
  <c r="AA54" i="14" s="1"/>
  <c r="BG60" i="14"/>
  <c r="AA60" i="14" s="1"/>
  <c r="BG66" i="14"/>
  <c r="AA66" i="14" s="1"/>
  <c r="AV72" i="14"/>
  <c r="AT72" i="14" s="1"/>
  <c r="AV78" i="14"/>
  <c r="AT78" i="14" s="1"/>
  <c r="AU82" i="14"/>
  <c r="AV84" i="14"/>
  <c r="AT84" i="14" s="1"/>
  <c r="AU88" i="14"/>
  <c r="AR12" i="13"/>
  <c r="BD13" i="13"/>
  <c r="BA17" i="13"/>
  <c r="BA22" i="13"/>
  <c r="H56" i="13"/>
  <c r="BF56" i="13"/>
  <c r="Z56" i="13" s="1"/>
  <c r="AU56" i="13"/>
  <c r="AU29" i="13"/>
  <c r="H29" i="13"/>
  <c r="AV31" i="13"/>
  <c r="BA31" i="13" s="1"/>
  <c r="I31" i="13"/>
  <c r="BD36" i="13"/>
  <c r="L33" i="13"/>
  <c r="J38" i="13"/>
  <c r="AI39" i="13"/>
  <c r="AR38" i="13" s="1"/>
  <c r="J12" i="13"/>
  <c r="AV13" i="13"/>
  <c r="AT13" i="13" s="1"/>
  <c r="H15" i="13"/>
  <c r="H12" i="13" s="1"/>
  <c r="BF15" i="13"/>
  <c r="Z15" i="13" s="1"/>
  <c r="AU20" i="13"/>
  <c r="BF22" i="13"/>
  <c r="Z22" i="13" s="1"/>
  <c r="H25" i="13"/>
  <c r="H24" i="13" s="1"/>
  <c r="AU25" i="13"/>
  <c r="AS38" i="13"/>
  <c r="AI86" i="13"/>
  <c r="J82" i="13"/>
  <c r="BA13" i="13"/>
  <c r="BG13" i="13"/>
  <c r="AA13" i="13" s="1"/>
  <c r="I15" i="13"/>
  <c r="I12" i="13" s="1"/>
  <c r="AV15" i="13"/>
  <c r="AT15" i="13" s="1"/>
  <c r="AV20" i="13"/>
  <c r="H22" i="13"/>
  <c r="H19" i="13" s="1"/>
  <c r="AT22" i="13"/>
  <c r="L24" i="13"/>
  <c r="BD25" i="13"/>
  <c r="BF25" i="13"/>
  <c r="Z25" i="13" s="1"/>
  <c r="I27" i="13"/>
  <c r="AV27" i="13"/>
  <c r="AT27" i="13" s="1"/>
  <c r="AI34" i="13"/>
  <c r="AR33" i="13" s="1"/>
  <c r="J33" i="13"/>
  <c r="AU89" i="13"/>
  <c r="H89" i="13"/>
  <c r="H88" i="13" s="1"/>
  <c r="BF89" i="13"/>
  <c r="AV34" i="13"/>
  <c r="AT34" i="13" s="1"/>
  <c r="BG45" i="13"/>
  <c r="AA45" i="13" s="1"/>
  <c r="AT49" i="13"/>
  <c r="BA49" i="13"/>
  <c r="L51" i="13"/>
  <c r="BG59" i="13"/>
  <c r="AA59" i="13" s="1"/>
  <c r="J61" i="13"/>
  <c r="H67" i="13"/>
  <c r="BG72" i="13"/>
  <c r="AA72" i="13" s="1"/>
  <c r="H83" i="13"/>
  <c r="BG90" i="13"/>
  <c r="BG34" i="13"/>
  <c r="AA34" i="13" s="1"/>
  <c r="BG52" i="13"/>
  <c r="AA52" i="13" s="1"/>
  <c r="BG65" i="13"/>
  <c r="AA65" i="13" s="1"/>
  <c r="AR82" i="13"/>
  <c r="AT83" i="13"/>
  <c r="AV89" i="13"/>
  <c r="BG89" i="13"/>
  <c r="AV36" i="13"/>
  <c r="BA36" i="13" s="1"/>
  <c r="L38" i="13"/>
  <c r="AU41" i="13"/>
  <c r="BF41" i="13"/>
  <c r="Z41" i="13" s="1"/>
  <c r="AV43" i="13"/>
  <c r="BA43" i="13" s="1"/>
  <c r="BG43" i="13"/>
  <c r="AA43" i="13" s="1"/>
  <c r="I45" i="13"/>
  <c r="I38" i="13" s="1"/>
  <c r="AR51" i="13"/>
  <c r="J51" i="13"/>
  <c r="I59" i="13"/>
  <c r="I58" i="13" s="1"/>
  <c r="AU62" i="13"/>
  <c r="BF62" i="13"/>
  <c r="Z62" i="13" s="1"/>
  <c r="L67" i="13"/>
  <c r="AU68" i="13"/>
  <c r="BF68" i="13"/>
  <c r="Z68" i="13" s="1"/>
  <c r="AQ67" i="13"/>
  <c r="AV70" i="13"/>
  <c r="BA70" i="13" s="1"/>
  <c r="BG70" i="13"/>
  <c r="AA70" i="13" s="1"/>
  <c r="I72" i="13"/>
  <c r="I67" i="13" s="1"/>
  <c r="AV77" i="13"/>
  <c r="BA77" i="13" s="1"/>
  <c r="BG77" i="13"/>
  <c r="AA77" i="13" s="1"/>
  <c r="I82" i="13"/>
  <c r="BF83" i="13"/>
  <c r="BG84" i="13"/>
  <c r="AV39" i="13"/>
  <c r="BA39" i="13" s="1"/>
  <c r="AU45" i="13"/>
  <c r="AV47" i="13"/>
  <c r="AU52" i="13"/>
  <c r="AV54" i="13"/>
  <c r="AT54" i="13" s="1"/>
  <c r="AU59" i="13"/>
  <c r="AU65" i="13"/>
  <c r="AU72" i="13"/>
  <c r="AV74" i="13"/>
  <c r="AT74" i="13" s="1"/>
  <c r="AV80" i="13"/>
  <c r="AT80" i="13" s="1"/>
  <c r="AU84" i="13"/>
  <c r="AV86" i="13"/>
  <c r="AU90" i="13"/>
  <c r="BA21" i="12"/>
  <c r="AT21" i="12"/>
  <c r="BA13" i="12"/>
  <c r="AT13" i="12"/>
  <c r="AT19" i="12"/>
  <c r="BA19" i="12"/>
  <c r="BA27" i="12"/>
  <c r="AT27" i="12"/>
  <c r="BG13" i="12"/>
  <c r="AA13" i="12" s="1"/>
  <c r="I13" i="12"/>
  <c r="BF17" i="12"/>
  <c r="Z17" i="12" s="1"/>
  <c r="H19" i="12"/>
  <c r="H12" i="12" s="1"/>
  <c r="BG19" i="12"/>
  <c r="AA19" i="12" s="1"/>
  <c r="I21" i="12"/>
  <c r="J23" i="12"/>
  <c r="BF24" i="12"/>
  <c r="Z24" i="12" s="1"/>
  <c r="I27" i="12"/>
  <c r="I26" i="12" s="1"/>
  <c r="AT33" i="12"/>
  <c r="BA33" i="12"/>
  <c r="J35" i="12"/>
  <c r="H41" i="12"/>
  <c r="H40" i="12" s="1"/>
  <c r="BF41" i="12"/>
  <c r="Z41" i="12" s="1"/>
  <c r="BG50" i="12"/>
  <c r="AA50" i="12" s="1"/>
  <c r="AT54" i="12"/>
  <c r="BA54" i="12"/>
  <c r="BG63" i="12"/>
  <c r="AA63" i="12" s="1"/>
  <c r="H68" i="12"/>
  <c r="BF68" i="12"/>
  <c r="Z68" i="12" s="1"/>
  <c r="H75" i="12"/>
  <c r="H74" i="12" s="1"/>
  <c r="BF75" i="12"/>
  <c r="Z75" i="12" s="1"/>
  <c r="AU87" i="12"/>
  <c r="H87" i="12"/>
  <c r="H86" i="12" s="1"/>
  <c r="BF87" i="12"/>
  <c r="BF19" i="12"/>
  <c r="Z19" i="12" s="1"/>
  <c r="BG27" i="12"/>
  <c r="AA27" i="12" s="1"/>
  <c r="H65" i="12"/>
  <c r="BD81" i="12"/>
  <c r="L80" i="12"/>
  <c r="AV82" i="12"/>
  <c r="I82" i="12"/>
  <c r="I80" i="12" s="1"/>
  <c r="BF15" i="12"/>
  <c r="Z15" i="12" s="1"/>
  <c r="BA17" i="12"/>
  <c r="BG17" i="12"/>
  <c r="AA17" i="12" s="1"/>
  <c r="BA24" i="12"/>
  <c r="BG24" i="12"/>
  <c r="AA24" i="12" s="1"/>
  <c r="AR40" i="12"/>
  <c r="AQ40" i="12"/>
  <c r="AV41" i="12"/>
  <c r="AT41" i="12" s="1"/>
  <c r="BG41" i="12"/>
  <c r="AA41" i="12" s="1"/>
  <c r="I43" i="12"/>
  <c r="I40" i="12" s="1"/>
  <c r="AR49" i="12"/>
  <c r="I57" i="12"/>
  <c r="I56" i="12" s="1"/>
  <c r="AU60" i="12"/>
  <c r="BF60" i="12"/>
  <c r="Z60" i="12" s="1"/>
  <c r="AU66" i="12"/>
  <c r="BF66" i="12"/>
  <c r="Z66" i="12" s="1"/>
  <c r="AQ65" i="12"/>
  <c r="AV68" i="12"/>
  <c r="BG68" i="12"/>
  <c r="AA68" i="12" s="1"/>
  <c r="I70" i="12"/>
  <c r="I65" i="12" s="1"/>
  <c r="AV75" i="12"/>
  <c r="AT75" i="12" s="1"/>
  <c r="BG75" i="12"/>
  <c r="AA75" i="12" s="1"/>
  <c r="BD87" i="12"/>
  <c r="L86" i="12"/>
  <c r="AV88" i="12"/>
  <c r="I88" i="12"/>
  <c r="I86" i="12" s="1"/>
  <c r="BG21" i="12"/>
  <c r="AA21" i="12" s="1"/>
  <c r="BG43" i="12"/>
  <c r="AA43" i="12" s="1"/>
  <c r="AT47" i="12"/>
  <c r="BA47" i="12"/>
  <c r="BG57" i="12"/>
  <c r="AA57" i="12" s="1"/>
  <c r="AT68" i="12"/>
  <c r="BG70" i="12"/>
  <c r="AA70" i="12" s="1"/>
  <c r="H29" i="12"/>
  <c r="H26" i="12" s="1"/>
  <c r="AR35" i="12"/>
  <c r="BG36" i="12"/>
  <c r="AA36" i="12" s="1"/>
  <c r="AT38" i="12"/>
  <c r="L40" i="12"/>
  <c r="I50" i="12"/>
  <c r="I49" i="12" s="1"/>
  <c r="I63" i="12"/>
  <c r="I62" i="12" s="1"/>
  <c r="BA68" i="12"/>
  <c r="AU81" i="12"/>
  <c r="H81" i="12"/>
  <c r="H80" i="12" s="1"/>
  <c r="BF81" i="12"/>
  <c r="BG82" i="12"/>
  <c r="AU78" i="12"/>
  <c r="AU84" i="12"/>
  <c r="AV31" i="12"/>
  <c r="AT31" i="12" s="1"/>
  <c r="AU43" i="12"/>
  <c r="AV45" i="12"/>
  <c r="AT45" i="12" s="1"/>
  <c r="AU50" i="12"/>
  <c r="AV52" i="12"/>
  <c r="AT52" i="12" s="1"/>
  <c r="AU57" i="12"/>
  <c r="AU63" i="12"/>
  <c r="AU70" i="12"/>
  <c r="AV72" i="12"/>
  <c r="AT72" i="12" s="1"/>
  <c r="AV78" i="12"/>
  <c r="AU82" i="12"/>
  <c r="AV84" i="12"/>
  <c r="AU88" i="12"/>
  <c r="BG22" i="10"/>
  <c r="AA22" i="10" s="1"/>
  <c r="AV22" i="10"/>
  <c r="BF42" i="10"/>
  <c r="Z42" i="10" s="1"/>
  <c r="BG44" i="10"/>
  <c r="AA44" i="10" s="1"/>
  <c r="AV44" i="10"/>
  <c r="BG55" i="10"/>
  <c r="AA55" i="10" s="1"/>
  <c r="I55" i="10"/>
  <c r="I52" i="10" s="1"/>
  <c r="BF62" i="10"/>
  <c r="Z62" i="10" s="1"/>
  <c r="H62" i="10"/>
  <c r="H59" i="10" s="1"/>
  <c r="BF74" i="10"/>
  <c r="Z74" i="10" s="1"/>
  <c r="AU74" i="10"/>
  <c r="H74" i="10"/>
  <c r="BG78" i="10"/>
  <c r="AA78" i="10" s="1"/>
  <c r="I78" i="10"/>
  <c r="BF80" i="10"/>
  <c r="Z80" i="10" s="1"/>
  <c r="AU80" i="10"/>
  <c r="H80" i="10"/>
  <c r="BF89" i="10"/>
  <c r="Z89" i="10" s="1"/>
  <c r="AU89" i="10"/>
  <c r="H89" i="10"/>
  <c r="H88" i="10" s="1"/>
  <c r="AV13" i="10"/>
  <c r="AS12" i="10"/>
  <c r="BF19" i="10"/>
  <c r="Z19" i="10" s="1"/>
  <c r="AI42" i="10"/>
  <c r="J39" i="10"/>
  <c r="BF50" i="10"/>
  <c r="Z50" i="10" s="1"/>
  <c r="AU50" i="10"/>
  <c r="BG62" i="10"/>
  <c r="AA62" i="10" s="1"/>
  <c r="AV62" i="10"/>
  <c r="BG65" i="10"/>
  <c r="AA65" i="10" s="1"/>
  <c r="I65" i="10"/>
  <c r="I64" i="10" s="1"/>
  <c r="BD98" i="10"/>
  <c r="L97" i="10"/>
  <c r="BG98" i="10"/>
  <c r="I98" i="10"/>
  <c r="BG100" i="10"/>
  <c r="I100" i="10"/>
  <c r="BF15" i="10"/>
  <c r="Z15" i="10" s="1"/>
  <c r="BF24" i="10"/>
  <c r="Z24" i="10" s="1"/>
  <c r="BG30" i="10"/>
  <c r="AA30" i="10" s="1"/>
  <c r="I30" i="10"/>
  <c r="AU37" i="10"/>
  <c r="BA37" i="10" s="1"/>
  <c r="BG40" i="10"/>
  <c r="AA40" i="10" s="1"/>
  <c r="AV40" i="10"/>
  <c r="AV42" i="10"/>
  <c r="BF46" i="10"/>
  <c r="Z46" i="10" s="1"/>
  <c r="BD53" i="10"/>
  <c r="L52" i="10"/>
  <c r="AU53" i="10"/>
  <c r="AT53" i="10" s="1"/>
  <c r="AV55" i="10"/>
  <c r="AR59" i="10"/>
  <c r="AU62" i="10"/>
  <c r="AU65" i="10"/>
  <c r="L73" i="10"/>
  <c r="BG83" i="10"/>
  <c r="AA83" i="10" s="1"/>
  <c r="I83" i="10"/>
  <c r="I82" i="10" s="1"/>
  <c r="I86" i="10"/>
  <c r="I85" i="10" s="1"/>
  <c r="AS91" i="10"/>
  <c r="BF93" i="10"/>
  <c r="AU93" i="10"/>
  <c r="BF102" i="10"/>
  <c r="AD102" i="10" s="1"/>
  <c r="AU102" i="10"/>
  <c r="BA102" i="10" s="1"/>
  <c r="I13" i="10"/>
  <c r="I12" i="10" s="1"/>
  <c r="BG15" i="10"/>
  <c r="AA15" i="10" s="1"/>
  <c r="AV15" i="10"/>
  <c r="BA15" i="10" s="1"/>
  <c r="BG17" i="10"/>
  <c r="AA17" i="10" s="1"/>
  <c r="AV17" i="10"/>
  <c r="AV19" i="10"/>
  <c r="I22" i="10"/>
  <c r="AV30" i="10"/>
  <c r="BG32" i="10"/>
  <c r="AA32" i="10" s="1"/>
  <c r="I32" i="10"/>
  <c r="H37" i="10"/>
  <c r="H34" i="10" s="1"/>
  <c r="AS34" i="10"/>
  <c r="H42" i="10"/>
  <c r="H39" i="10" s="1"/>
  <c r="AS39" i="10"/>
  <c r="AV50" i="10"/>
  <c r="H53" i="10"/>
  <c r="H52" i="10" s="1"/>
  <c r="BF55" i="10"/>
  <c r="Z55" i="10" s="1"/>
  <c r="AU55" i="10"/>
  <c r="H57" i="10"/>
  <c r="AU57" i="10"/>
  <c r="AV60" i="10"/>
  <c r="I68" i="10"/>
  <c r="I67" i="10" s="1"/>
  <c r="BD74" i="10"/>
  <c r="BD83" i="10"/>
  <c r="L82" i="10"/>
  <c r="BF92" i="10"/>
  <c r="AU92" i="10"/>
  <c r="BG99" i="10"/>
  <c r="I99" i="10"/>
  <c r="AS59" i="10"/>
  <c r="I74" i="10"/>
  <c r="I80" i="10"/>
  <c r="BA53" i="10"/>
  <c r="BA62" i="10"/>
  <c r="AT62" i="10"/>
  <c r="J12" i="10"/>
  <c r="BA19" i="10"/>
  <c r="AT19" i="10"/>
  <c r="BD24" i="10"/>
  <c r="L21" i="10"/>
  <c r="BA24" i="10"/>
  <c r="AT24" i="10"/>
  <c r="BA28" i="10"/>
  <c r="AT28" i="10"/>
  <c r="AI30" i="10"/>
  <c r="J82" i="10"/>
  <c r="J88" i="10"/>
  <c r="AI92" i="10"/>
  <c r="AR91" i="10" s="1"/>
  <c r="H13" i="10"/>
  <c r="H12" i="10" s="1"/>
  <c r="AU13" i="10"/>
  <c r="AS21" i="10"/>
  <c r="AR34" i="10"/>
  <c r="AI65" i="10"/>
  <c r="AR64" i="10" s="1"/>
  <c r="J67" i="10"/>
  <c r="AI71" i="10"/>
  <c r="AR70" i="10" s="1"/>
  <c r="J73" i="10"/>
  <c r="AI78" i="10"/>
  <c r="AI99" i="10"/>
  <c r="AR97" i="10" s="1"/>
  <c r="J97" i="10"/>
  <c r="AR12" i="10"/>
  <c r="J52" i="10"/>
  <c r="L12" i="10"/>
  <c r="AI17" i="10"/>
  <c r="AI22" i="10"/>
  <c r="AI26" i="10"/>
  <c r="BA32" i="10"/>
  <c r="AT32" i="10"/>
  <c r="BA42" i="10"/>
  <c r="AT42" i="10"/>
  <c r="AI55" i="10"/>
  <c r="AR52" i="10" s="1"/>
  <c r="AI76" i="10"/>
  <c r="AI83" i="10"/>
  <c r="AR82" i="10" s="1"/>
  <c r="AI89" i="10"/>
  <c r="AR88" i="10" s="1"/>
  <c r="J91" i="10"/>
  <c r="AS97" i="10"/>
  <c r="AT102" i="10"/>
  <c r="AI40" i="10"/>
  <c r="AI44" i="10"/>
  <c r="AI48" i="10"/>
  <c r="BA78" i="10"/>
  <c r="AU17" i="10"/>
  <c r="AU22" i="10"/>
  <c r="AU26" i="10"/>
  <c r="AU30" i="10"/>
  <c r="AU35" i="10"/>
  <c r="AU40" i="10"/>
  <c r="AU44" i="10"/>
  <c r="AU48" i="10"/>
  <c r="J59" i="10"/>
  <c r="BA95" i="10"/>
  <c r="L34" i="10"/>
  <c r="L39" i="10"/>
  <c r="AV65" i="10"/>
  <c r="AV68" i="10"/>
  <c r="AT68" i="10" s="1"/>
  <c r="AV71" i="10"/>
  <c r="AT71" i="10" s="1"/>
  <c r="AV74" i="10"/>
  <c r="AV76" i="10"/>
  <c r="AT76" i="10" s="1"/>
  <c r="AV78" i="10"/>
  <c r="AT78" i="10" s="1"/>
  <c r="AV80" i="10"/>
  <c r="AT80" i="10" s="1"/>
  <c r="AV83" i="10"/>
  <c r="AT83" i="10" s="1"/>
  <c r="AV86" i="10"/>
  <c r="AT86" i="10" s="1"/>
  <c r="AV89" i="10"/>
  <c r="AV92" i="10"/>
  <c r="AT92" i="10" s="1"/>
  <c r="AV93" i="10"/>
  <c r="BA93" i="10" s="1"/>
  <c r="AV95" i="10"/>
  <c r="AT95" i="10" s="1"/>
  <c r="AV98" i="10"/>
  <c r="AT98" i="10" s="1"/>
  <c r="AV99" i="10"/>
  <c r="BA99" i="10" s="1"/>
  <c r="AV100" i="10"/>
  <c r="AT100" i="10" s="1"/>
  <c r="AV102" i="10"/>
  <c r="BD20" i="9"/>
  <c r="L15" i="9"/>
  <c r="AV44" i="9"/>
  <c r="I44" i="9"/>
  <c r="AU49" i="9"/>
  <c r="H49" i="9"/>
  <c r="H46" i="9" s="1"/>
  <c r="AU65" i="9"/>
  <c r="H65" i="9"/>
  <c r="H64" i="9" s="1"/>
  <c r="AU20" i="9"/>
  <c r="H20" i="9"/>
  <c r="H15" i="9" s="1"/>
  <c r="BF20" i="9"/>
  <c r="Z20" i="9" s="1"/>
  <c r="AV29" i="9"/>
  <c r="I29" i="9"/>
  <c r="I28" i="9" s="1"/>
  <c r="AU42" i="9"/>
  <c r="H42" i="9"/>
  <c r="BF42" i="9"/>
  <c r="Z42" i="9" s="1"/>
  <c r="BF60" i="9"/>
  <c r="Z60" i="9" s="1"/>
  <c r="H60" i="9"/>
  <c r="AU60" i="9"/>
  <c r="AU34" i="9"/>
  <c r="H34" i="9"/>
  <c r="AU71" i="9"/>
  <c r="H71" i="9"/>
  <c r="H70" i="9" s="1"/>
  <c r="BD13" i="9"/>
  <c r="L12" i="9"/>
  <c r="J15" i="9"/>
  <c r="AV22" i="9"/>
  <c r="I22" i="9"/>
  <c r="I15" i="9" s="1"/>
  <c r="BF49" i="9"/>
  <c r="Z49" i="9" s="1"/>
  <c r="AU56" i="9"/>
  <c r="H56" i="9"/>
  <c r="BF65" i="9"/>
  <c r="Z65" i="9" s="1"/>
  <c r="BF71" i="9"/>
  <c r="Z71" i="9" s="1"/>
  <c r="AU13" i="9"/>
  <c r="H13" i="9"/>
  <c r="H12" i="9" s="1"/>
  <c r="BF13" i="9"/>
  <c r="Z13" i="9" s="1"/>
  <c r="BG22" i="9"/>
  <c r="AA22" i="9" s="1"/>
  <c r="AI32" i="9"/>
  <c r="AR31" i="9" s="1"/>
  <c r="J31" i="9"/>
  <c r="BD34" i="9"/>
  <c r="L31" i="9"/>
  <c r="AV36" i="9"/>
  <c r="I36" i="9"/>
  <c r="I31" i="9" s="1"/>
  <c r="BG36" i="9"/>
  <c r="AA36" i="9" s="1"/>
  <c r="BG44" i="9"/>
  <c r="AA44" i="9" s="1"/>
  <c r="AI47" i="9"/>
  <c r="AR46" i="9" s="1"/>
  <c r="J46" i="9"/>
  <c r="BD49" i="9"/>
  <c r="L46" i="9"/>
  <c r="AI54" i="9"/>
  <c r="AR51" i="9" s="1"/>
  <c r="J51" i="9"/>
  <c r="BD56" i="9"/>
  <c r="L51" i="9"/>
  <c r="AV58" i="9"/>
  <c r="I58" i="9"/>
  <c r="I51" i="9" s="1"/>
  <c r="BA62" i="9"/>
  <c r="AI110" i="9"/>
  <c r="AR105" i="9" s="1"/>
  <c r="J105" i="9"/>
  <c r="AV114" i="9"/>
  <c r="I114" i="9"/>
  <c r="AU24" i="9"/>
  <c r="AV26" i="9"/>
  <c r="AT26" i="9" s="1"/>
  <c r="AV32" i="9"/>
  <c r="AU38" i="9"/>
  <c r="AV40" i="9"/>
  <c r="AT40" i="9" s="1"/>
  <c r="AV47" i="9"/>
  <c r="AT47" i="9" s="1"/>
  <c r="AU52" i="9"/>
  <c r="AV54" i="9"/>
  <c r="AI76" i="9"/>
  <c r="AR75" i="9" s="1"/>
  <c r="J75" i="9"/>
  <c r="BD78" i="9"/>
  <c r="L75" i="9"/>
  <c r="BD97" i="9"/>
  <c r="L96" i="9"/>
  <c r="AV99" i="9"/>
  <c r="I99" i="9"/>
  <c r="AU112" i="9"/>
  <c r="H112" i="9"/>
  <c r="BF112" i="9"/>
  <c r="Z112" i="9" s="1"/>
  <c r="AV137" i="9"/>
  <c r="I137" i="9"/>
  <c r="I136" i="9" s="1"/>
  <c r="BG137" i="9"/>
  <c r="AV106" i="9"/>
  <c r="I106" i="9"/>
  <c r="BD155" i="9"/>
  <c r="L140" i="9"/>
  <c r="AU161" i="9"/>
  <c r="H161" i="9"/>
  <c r="AV16" i="9"/>
  <c r="AT16" i="9" s="1"/>
  <c r="AU22" i="9"/>
  <c r="AV24" i="9"/>
  <c r="AU29" i="9"/>
  <c r="AV38" i="9"/>
  <c r="AU44" i="9"/>
  <c r="AV52" i="9"/>
  <c r="AU58" i="9"/>
  <c r="AR64" i="9"/>
  <c r="AR70" i="9"/>
  <c r="AU78" i="9"/>
  <c r="H78" i="9"/>
  <c r="H75" i="9" s="1"/>
  <c r="BF78" i="9"/>
  <c r="Z78" i="9" s="1"/>
  <c r="AI88" i="9"/>
  <c r="AR87" i="9" s="1"/>
  <c r="J87" i="9"/>
  <c r="BD90" i="9"/>
  <c r="L87" i="9"/>
  <c r="AV92" i="9"/>
  <c r="BA92" i="9" s="1"/>
  <c r="I92" i="9"/>
  <c r="BG92" i="9"/>
  <c r="AA92" i="9" s="1"/>
  <c r="AU97" i="9"/>
  <c r="H97" i="9"/>
  <c r="H96" i="9" s="1"/>
  <c r="BF97" i="9"/>
  <c r="Z97" i="9" s="1"/>
  <c r="AI139" i="9"/>
  <c r="AR136" i="9" s="1"/>
  <c r="J136" i="9"/>
  <c r="BF161" i="9"/>
  <c r="BD65" i="9"/>
  <c r="L64" i="9"/>
  <c r="AV67" i="9"/>
  <c r="I67" i="9"/>
  <c r="BG67" i="9"/>
  <c r="AA67" i="9" s="1"/>
  <c r="BD71" i="9"/>
  <c r="L70" i="9"/>
  <c r="AV73" i="9"/>
  <c r="I73" i="9"/>
  <c r="I70" i="9" s="1"/>
  <c r="AV80" i="9"/>
  <c r="I80" i="9"/>
  <c r="I75" i="9" s="1"/>
  <c r="AI82" i="9"/>
  <c r="AR81" i="9" s="1"/>
  <c r="J81" i="9"/>
  <c r="AV85" i="9"/>
  <c r="BA85" i="9" s="1"/>
  <c r="I85" i="9"/>
  <c r="I84" i="9" s="1"/>
  <c r="BG85" i="9"/>
  <c r="AA85" i="9" s="1"/>
  <c r="AU90" i="9"/>
  <c r="H90" i="9"/>
  <c r="H87" i="9" s="1"/>
  <c r="BF90" i="9"/>
  <c r="Z90" i="9" s="1"/>
  <c r="L105" i="9"/>
  <c r="BG106" i="9"/>
  <c r="AA106" i="9" s="1"/>
  <c r="BG114" i="9"/>
  <c r="AA114" i="9" s="1"/>
  <c r="AV157" i="9"/>
  <c r="I157" i="9"/>
  <c r="BG157" i="9"/>
  <c r="AU68" i="9"/>
  <c r="AV76" i="9"/>
  <c r="AT76" i="9" s="1"/>
  <c r="AV82" i="9"/>
  <c r="AT82" i="9" s="1"/>
  <c r="AI85" i="9"/>
  <c r="AR84" i="9" s="1"/>
  <c r="AV88" i="9"/>
  <c r="AU94" i="9"/>
  <c r="AU101" i="9"/>
  <c r="AV103" i="9"/>
  <c r="AT103" i="9" s="1"/>
  <c r="AU108" i="9"/>
  <c r="AV110" i="9"/>
  <c r="AV118" i="9"/>
  <c r="BA118" i="9" s="1"/>
  <c r="I118" i="9"/>
  <c r="BG118" i="9"/>
  <c r="AA118" i="9" s="1"/>
  <c r="AR129" i="9"/>
  <c r="AU130" i="9"/>
  <c r="H130" i="9"/>
  <c r="H129" i="9" s="1"/>
  <c r="BF130" i="9"/>
  <c r="AS140" i="9"/>
  <c r="BA153" i="9"/>
  <c r="AV162" i="9"/>
  <c r="I162" i="9"/>
  <c r="AU165" i="9"/>
  <c r="H165" i="9"/>
  <c r="BF165" i="9"/>
  <c r="AU73" i="9"/>
  <c r="AU80" i="9"/>
  <c r="AV94" i="9"/>
  <c r="AU99" i="9"/>
  <c r="AV101" i="9"/>
  <c r="AU106" i="9"/>
  <c r="AV108" i="9"/>
  <c r="AU114" i="9"/>
  <c r="AU116" i="9"/>
  <c r="H116" i="9"/>
  <c r="BF116" i="9"/>
  <c r="Z116" i="9" s="1"/>
  <c r="AU124" i="9"/>
  <c r="H124" i="9"/>
  <c r="BF124" i="9"/>
  <c r="Z124" i="9" s="1"/>
  <c r="BD130" i="9"/>
  <c r="L129" i="9"/>
  <c r="AV131" i="9"/>
  <c r="I131" i="9"/>
  <c r="I129" i="9" s="1"/>
  <c r="AV141" i="9"/>
  <c r="I141" i="9"/>
  <c r="AI145" i="9"/>
  <c r="AR140" i="9" s="1"/>
  <c r="J140" i="9"/>
  <c r="AU147" i="9"/>
  <c r="H147" i="9"/>
  <c r="BF147" i="9"/>
  <c r="AV167" i="9"/>
  <c r="I167" i="9"/>
  <c r="AQ140" i="9"/>
  <c r="AV149" i="9"/>
  <c r="I149" i="9"/>
  <c r="AU155" i="9"/>
  <c r="H155" i="9"/>
  <c r="BF155" i="9"/>
  <c r="AU120" i="9"/>
  <c r="AV122" i="9"/>
  <c r="AT122" i="9" s="1"/>
  <c r="AU127" i="9"/>
  <c r="AU133" i="9"/>
  <c r="AV135" i="9"/>
  <c r="BA135" i="9" s="1"/>
  <c r="AU138" i="9"/>
  <c r="AV139" i="9"/>
  <c r="AU143" i="9"/>
  <c r="AV145" i="9"/>
  <c r="AT145" i="9" s="1"/>
  <c r="AU151" i="9"/>
  <c r="AV153" i="9"/>
  <c r="AT153" i="9" s="1"/>
  <c r="AU159" i="9"/>
  <c r="AV160" i="9"/>
  <c r="AT160" i="9" s="1"/>
  <c r="AU163" i="9"/>
  <c r="AV164" i="9"/>
  <c r="AT164" i="9" s="1"/>
  <c r="BF120" i="9"/>
  <c r="Z120" i="9" s="1"/>
  <c r="BG122" i="9"/>
  <c r="AA122" i="9" s="1"/>
  <c r="AV127" i="9"/>
  <c r="AU131" i="9"/>
  <c r="AV133" i="9"/>
  <c r="AU137" i="9"/>
  <c r="AV138" i="9"/>
  <c r="AU141" i="9"/>
  <c r="AV143" i="9"/>
  <c r="AU149" i="9"/>
  <c r="AV151" i="9"/>
  <c r="AU157" i="9"/>
  <c r="AV159" i="9"/>
  <c r="AU162" i="9"/>
  <c r="AV163" i="9"/>
  <c r="AU167" i="9"/>
  <c r="BA175" i="8"/>
  <c r="AT175" i="8"/>
  <c r="AU132" i="8"/>
  <c r="BF132" i="8"/>
  <c r="Z132" i="8" s="1"/>
  <c r="BF150" i="8"/>
  <c r="AU150" i="8"/>
  <c r="BD152" i="8"/>
  <c r="L151" i="8"/>
  <c r="AT49" i="8"/>
  <c r="BG75" i="8"/>
  <c r="AA75" i="8" s="1"/>
  <c r="AV75" i="8"/>
  <c r="AT75" i="8" s="1"/>
  <c r="I75" i="8"/>
  <c r="I72" i="8" s="1"/>
  <c r="J77" i="8"/>
  <c r="BG80" i="8"/>
  <c r="AA80" i="8" s="1"/>
  <c r="AV80" i="8"/>
  <c r="I89" i="8"/>
  <c r="AV96" i="8"/>
  <c r="AT96" i="8" s="1"/>
  <c r="H106" i="8"/>
  <c r="AS106" i="8"/>
  <c r="J119" i="8"/>
  <c r="BG122" i="8"/>
  <c r="AA122" i="8" s="1"/>
  <c r="AV122" i="8"/>
  <c r="AV160" i="8"/>
  <c r="L18" i="8"/>
  <c r="J18" i="8"/>
  <c r="H18" i="8"/>
  <c r="BF21" i="8"/>
  <c r="Z21" i="8" s="1"/>
  <c r="AU21" i="8"/>
  <c r="BA21" i="8" s="1"/>
  <c r="BG38" i="8"/>
  <c r="AA38" i="8" s="1"/>
  <c r="I33" i="8"/>
  <c r="AT40" i="8"/>
  <c r="BG46" i="8"/>
  <c r="AA46" i="8" s="1"/>
  <c r="BF51" i="8"/>
  <c r="Z51" i="8" s="1"/>
  <c r="AU51" i="8"/>
  <c r="BA51" i="8" s="1"/>
  <c r="BG51" i="8"/>
  <c r="AA51" i="8" s="1"/>
  <c r="L53" i="8"/>
  <c r="AT62" i="8"/>
  <c r="AT67" i="8"/>
  <c r="AS66" i="8"/>
  <c r="AV84" i="8"/>
  <c r="AR89" i="8"/>
  <c r="AQ89" i="8"/>
  <c r="AV90" i="8"/>
  <c r="AT90" i="8" s="1"/>
  <c r="BG92" i="8"/>
  <c r="AA92" i="8" s="1"/>
  <c r="AV92" i="8"/>
  <c r="BA92" i="8" s="1"/>
  <c r="BG107" i="8"/>
  <c r="AA107" i="8" s="1"/>
  <c r="AV107" i="8"/>
  <c r="AT107" i="8" s="1"/>
  <c r="BF113" i="8"/>
  <c r="Z113" i="8" s="1"/>
  <c r="AU120" i="8"/>
  <c r="H120" i="8"/>
  <c r="H119" i="8" s="1"/>
  <c r="BG124" i="8"/>
  <c r="AA124" i="8" s="1"/>
  <c r="I124" i="8"/>
  <c r="AV124" i="8"/>
  <c r="AT124" i="8" s="1"/>
  <c r="AV126" i="8"/>
  <c r="AS119" i="8"/>
  <c r="AU136" i="8"/>
  <c r="H136" i="8"/>
  <c r="BG153" i="8"/>
  <c r="I153" i="8"/>
  <c r="BF164" i="8"/>
  <c r="H164" i="8"/>
  <c r="BF16" i="8"/>
  <c r="Z16" i="8" s="1"/>
  <c r="AU16" i="8"/>
  <c r="BA16" i="8" s="1"/>
  <c r="BF49" i="8"/>
  <c r="Z49" i="8" s="1"/>
  <c r="AU49" i="8"/>
  <c r="BA49" i="8" s="1"/>
  <c r="BG154" i="8"/>
  <c r="AV154" i="8"/>
  <c r="I154" i="8"/>
  <c r="BA164" i="8"/>
  <c r="AT164" i="8"/>
  <c r="BF166" i="8"/>
  <c r="AU166" i="8"/>
  <c r="H166" i="8"/>
  <c r="BF175" i="8"/>
  <c r="H175" i="8"/>
  <c r="J33" i="8"/>
  <c r="BA36" i="8"/>
  <c r="BA44" i="8"/>
  <c r="BF56" i="8"/>
  <c r="Z56" i="8" s="1"/>
  <c r="AU56" i="8"/>
  <c r="AT56" i="8" s="1"/>
  <c r="AS89" i="8"/>
  <c r="BG98" i="8"/>
  <c r="AA98" i="8" s="1"/>
  <c r="AV98" i="8"/>
  <c r="AT98" i="8" s="1"/>
  <c r="BG111" i="8"/>
  <c r="AA111" i="8" s="1"/>
  <c r="AV111" i="8"/>
  <c r="BD142" i="8"/>
  <c r="L141" i="8"/>
  <c r="BG166" i="8"/>
  <c r="I166" i="8"/>
  <c r="AV170" i="8"/>
  <c r="L12" i="8"/>
  <c r="AT13" i="8"/>
  <c r="BF29" i="8"/>
  <c r="Z29" i="8" s="1"/>
  <c r="AU29" i="8"/>
  <c r="BA29" i="8" s="1"/>
  <c r="AT38" i="8"/>
  <c r="AT46" i="8"/>
  <c r="AT51" i="8"/>
  <c r="BF54" i="8"/>
  <c r="Z54" i="8" s="1"/>
  <c r="AU54" i="8"/>
  <c r="BA54" i="8" s="1"/>
  <c r="AR77" i="8"/>
  <c r="BG78" i="8"/>
  <c r="AA78" i="8" s="1"/>
  <c r="AV78" i="8"/>
  <c r="AU82" i="8"/>
  <c r="AT82" i="8" s="1"/>
  <c r="H82" i="8"/>
  <c r="J89" i="8"/>
  <c r="AU113" i="8"/>
  <c r="BG117" i="8"/>
  <c r="AA117" i="8" s="1"/>
  <c r="AV117" i="8"/>
  <c r="AT117" i="8" s="1"/>
  <c r="I117" i="8"/>
  <c r="I106" i="8" s="1"/>
  <c r="I119" i="8"/>
  <c r="BG120" i="8"/>
  <c r="AA120" i="8" s="1"/>
  <c r="AV120" i="8"/>
  <c r="BG136" i="8"/>
  <c r="AA136" i="8" s="1"/>
  <c r="AV136" i="8"/>
  <c r="BD145" i="8"/>
  <c r="L144" i="8"/>
  <c r="H150" i="8"/>
  <c r="H144" i="8" s="1"/>
  <c r="L155" i="8"/>
  <c r="AQ155" i="8"/>
  <c r="BG156" i="8"/>
  <c r="AV156" i="8"/>
  <c r="I156" i="8"/>
  <c r="I160" i="8"/>
  <c r="BF160" i="8"/>
  <c r="AU160" i="8"/>
  <c r="H160" i="8"/>
  <c r="I170" i="8"/>
  <c r="BF170" i="8"/>
  <c r="AU170" i="8"/>
  <c r="H170" i="8"/>
  <c r="BG172" i="8"/>
  <c r="AV172" i="8"/>
  <c r="I172" i="8"/>
  <c r="BG174" i="8"/>
  <c r="AV174" i="8"/>
  <c r="I174" i="8"/>
  <c r="BF178" i="8"/>
  <c r="AU178" i="8"/>
  <c r="BA178" i="8" s="1"/>
  <c r="AQ48" i="8"/>
  <c r="AQ53" i="8"/>
  <c r="J86" i="8"/>
  <c r="BA128" i="8"/>
  <c r="AU154" i="8"/>
  <c r="AU156" i="8"/>
  <c r="AV158" i="8"/>
  <c r="AT158" i="8" s="1"/>
  <c r="AV162" i="8"/>
  <c r="AT162" i="8" s="1"/>
  <c r="AV168" i="8"/>
  <c r="AT168" i="8" s="1"/>
  <c r="AU172" i="8"/>
  <c r="AV173" i="8"/>
  <c r="AT173" i="8" s="1"/>
  <c r="AU174" i="8"/>
  <c r="BG16" i="8"/>
  <c r="AA16" i="8" s="1"/>
  <c r="AT19" i="8"/>
  <c r="AQ18" i="8"/>
  <c r="BG21" i="8"/>
  <c r="AA21" i="8" s="1"/>
  <c r="AT23" i="8"/>
  <c r="AT25" i="8"/>
  <c r="BG25" i="8"/>
  <c r="AA25" i="8" s="1"/>
  <c r="AT27" i="8"/>
  <c r="BG29" i="8"/>
  <c r="AA29" i="8" s="1"/>
  <c r="AT31" i="8"/>
  <c r="AT34" i="8"/>
  <c r="AT42" i="8"/>
  <c r="AT60" i="8"/>
  <c r="BA124" i="8"/>
  <c r="BF128" i="8"/>
  <c r="Z128" i="8" s="1"/>
  <c r="AV134" i="8"/>
  <c r="J155" i="8"/>
  <c r="BG19" i="8"/>
  <c r="AA19" i="8" s="1"/>
  <c r="BA25" i="8"/>
  <c r="BG27" i="8"/>
  <c r="AA27" i="8" s="1"/>
  <c r="BA38" i="8"/>
  <c r="BG40" i="8"/>
  <c r="AA40" i="8" s="1"/>
  <c r="BA46" i="8"/>
  <c r="BA56" i="8"/>
  <c r="BG58" i="8"/>
  <c r="AA58" i="8" s="1"/>
  <c r="BA64" i="8"/>
  <c r="BG67" i="8"/>
  <c r="AA67" i="8" s="1"/>
  <c r="BA19" i="8"/>
  <c r="BA27" i="8"/>
  <c r="BA40" i="8"/>
  <c r="BA58" i="8"/>
  <c r="I58" i="8"/>
  <c r="I53" i="8" s="1"/>
  <c r="BG13" i="8"/>
  <c r="AA13" i="8" s="1"/>
  <c r="BG23" i="8"/>
  <c r="AA23" i="8" s="1"/>
  <c r="BG31" i="8"/>
  <c r="AA31" i="8" s="1"/>
  <c r="BG36" i="8"/>
  <c r="AA36" i="8" s="1"/>
  <c r="BG44" i="8"/>
  <c r="AA44" i="8" s="1"/>
  <c r="BG49" i="8"/>
  <c r="AA49" i="8" s="1"/>
  <c r="BG54" i="8"/>
  <c r="AA54" i="8" s="1"/>
  <c r="BG62" i="8"/>
  <c r="AA62" i="8" s="1"/>
  <c r="BG64" i="8"/>
  <c r="AA64" i="8" s="1"/>
  <c r="BA67" i="8"/>
  <c r="BA75" i="8"/>
  <c r="BA90" i="8"/>
  <c r="AT94" i="8"/>
  <c r="BA94" i="8"/>
  <c r="BF96" i="8"/>
  <c r="Z96" i="8" s="1"/>
  <c r="AT100" i="8"/>
  <c r="BA100" i="8"/>
  <c r="AT104" i="8"/>
  <c r="BA104" i="8"/>
  <c r="BF115" i="8"/>
  <c r="Z115" i="8" s="1"/>
  <c r="AU115" i="8"/>
  <c r="BD120" i="8"/>
  <c r="L119" i="8"/>
  <c r="AI13" i="8"/>
  <c r="AR12" i="8" s="1"/>
  <c r="AI16" i="8"/>
  <c r="AR15" i="8" s="1"/>
  <c r="AI19" i="8"/>
  <c r="AI21" i="8"/>
  <c r="AI23" i="8"/>
  <c r="AI25" i="8"/>
  <c r="AI27" i="8"/>
  <c r="AI29" i="8"/>
  <c r="AI31" i="8"/>
  <c r="AI34" i="8"/>
  <c r="AI36" i="8"/>
  <c r="AI38" i="8"/>
  <c r="AI40" i="8"/>
  <c r="AI42" i="8"/>
  <c r="AI44" i="8"/>
  <c r="AI46" i="8"/>
  <c r="AI49" i="8"/>
  <c r="AI51" i="8"/>
  <c r="AI54" i="8"/>
  <c r="AI56" i="8"/>
  <c r="AI58" i="8"/>
  <c r="AI60" i="8"/>
  <c r="AI62" i="8"/>
  <c r="AI64" i="8"/>
  <c r="AI67" i="8"/>
  <c r="AI69" i="8"/>
  <c r="AI70" i="8"/>
  <c r="J72" i="8"/>
  <c r="AI73" i="8"/>
  <c r="AR72" i="8" s="1"/>
  <c r="AT80" i="8"/>
  <c r="BA80" i="8"/>
  <c r="L86" i="8"/>
  <c r="AT87" i="8"/>
  <c r="BA87" i="8"/>
  <c r="BF87" i="8"/>
  <c r="Z87" i="8" s="1"/>
  <c r="L106" i="8"/>
  <c r="BF107" i="8"/>
  <c r="Z107" i="8" s="1"/>
  <c r="AT109" i="8"/>
  <c r="BA109" i="8"/>
  <c r="BF109" i="8"/>
  <c r="Z109" i="8" s="1"/>
  <c r="BF111" i="8"/>
  <c r="Z111" i="8" s="1"/>
  <c r="AU111" i="8"/>
  <c r="J106" i="8"/>
  <c r="AU139" i="8"/>
  <c r="H139" i="8"/>
  <c r="H138" i="8" s="1"/>
  <c r="BF139" i="8"/>
  <c r="Z139" i="8" s="1"/>
  <c r="AI174" i="8"/>
  <c r="BG70" i="8"/>
  <c r="AA70" i="8" s="1"/>
  <c r="BF90" i="8"/>
  <c r="Z90" i="8" s="1"/>
  <c r="AT92" i="8"/>
  <c r="BF98" i="8"/>
  <c r="Z98" i="8" s="1"/>
  <c r="AT102" i="8"/>
  <c r="BA102" i="8"/>
  <c r="AI176" i="8"/>
  <c r="AU69" i="8"/>
  <c r="AU70" i="8"/>
  <c r="AU73" i="8"/>
  <c r="H78" i="8"/>
  <c r="H77" i="8" s="1"/>
  <c r="AU78" i="8"/>
  <c r="L83" i="8"/>
  <c r="AT84" i="8"/>
  <c r="BA84" i="8"/>
  <c r="BF84" i="8"/>
  <c r="Z84" i="8" s="1"/>
  <c r="AI150" i="8"/>
  <c r="AI170" i="8"/>
  <c r="BG69" i="8"/>
  <c r="AA69" i="8" s="1"/>
  <c r="BF94" i="8"/>
  <c r="Z94" i="8" s="1"/>
  <c r="BF100" i="8"/>
  <c r="Z100" i="8" s="1"/>
  <c r="BF102" i="8"/>
  <c r="Z102" i="8" s="1"/>
  <c r="BF104" i="8"/>
  <c r="Z104" i="8" s="1"/>
  <c r="AI162" i="8"/>
  <c r="AV73" i="8"/>
  <c r="L77" i="8"/>
  <c r="BF82" i="8"/>
  <c r="H90" i="8"/>
  <c r="H92" i="8"/>
  <c r="H94" i="8"/>
  <c r="H96" i="8"/>
  <c r="H98" i="8"/>
  <c r="H100" i="8"/>
  <c r="H102" i="8"/>
  <c r="H104" i="8"/>
  <c r="AI117" i="8"/>
  <c r="AR106" i="8" s="1"/>
  <c r="AI139" i="8"/>
  <c r="AR138" i="8" s="1"/>
  <c r="J138" i="8"/>
  <c r="BA122" i="8"/>
  <c r="BA126" i="8"/>
  <c r="BA130" i="8"/>
  <c r="BA134" i="8"/>
  <c r="BA117" i="8"/>
  <c r="BF122" i="8"/>
  <c r="Z122" i="8" s="1"/>
  <c r="BF126" i="8"/>
  <c r="Z126" i="8" s="1"/>
  <c r="BF130" i="8"/>
  <c r="Z130" i="8" s="1"/>
  <c r="BF134" i="8"/>
  <c r="Z134" i="8" s="1"/>
  <c r="L138" i="8"/>
  <c r="J141" i="8"/>
  <c r="J144" i="8"/>
  <c r="J151" i="8"/>
  <c r="AI122" i="8"/>
  <c r="AT122" i="8"/>
  <c r="AI126" i="8"/>
  <c r="AT126" i="8"/>
  <c r="AI130" i="8"/>
  <c r="AT130" i="8"/>
  <c r="AI134" i="8"/>
  <c r="AT134" i="8"/>
  <c r="AI142" i="8"/>
  <c r="AR141" i="8" s="1"/>
  <c r="AI145" i="8"/>
  <c r="AI152" i="8"/>
  <c r="AI154" i="8"/>
  <c r="AI160" i="8"/>
  <c r="AR155" i="8" s="1"/>
  <c r="AI168" i="8"/>
  <c r="AI178" i="8"/>
  <c r="AU142" i="8"/>
  <c r="AU145" i="8"/>
  <c r="AU146" i="8"/>
  <c r="AU148" i="8"/>
  <c r="AU176" i="8"/>
  <c r="AV150" i="8"/>
  <c r="AT150" i="8" s="1"/>
  <c r="AV152" i="8"/>
  <c r="AT152" i="8" s="1"/>
  <c r="AV153" i="8"/>
  <c r="AT153" i="8" s="1"/>
  <c r="AV178" i="8"/>
  <c r="AT178" i="8" s="1"/>
  <c r="BD13" i="7"/>
  <c r="J83" i="7"/>
  <c r="AJ84" i="7"/>
  <c r="AS83" i="7" s="1"/>
  <c r="BG106" i="7"/>
  <c r="AA106" i="7" s="1"/>
  <c r="I106" i="7"/>
  <c r="AV106" i="7"/>
  <c r="BF13" i="7"/>
  <c r="Z13" i="7" s="1"/>
  <c r="AU13" i="7"/>
  <c r="BF20" i="7"/>
  <c r="Z20" i="7" s="1"/>
  <c r="AU20" i="7"/>
  <c r="BG99" i="7"/>
  <c r="AA99" i="7" s="1"/>
  <c r="AV99" i="7"/>
  <c r="I120" i="7"/>
  <c r="BG136" i="7"/>
  <c r="AA136" i="7" s="1"/>
  <c r="I136" i="7"/>
  <c r="I131" i="7" s="1"/>
  <c r="BG170" i="7"/>
  <c r="I170" i="7"/>
  <c r="I169" i="7" s="1"/>
  <c r="BF199" i="7"/>
  <c r="AU199" i="7"/>
  <c r="H199" i="7"/>
  <c r="AJ38" i="7"/>
  <c r="AS37" i="7" s="1"/>
  <c r="J37" i="7"/>
  <c r="AR37" i="7"/>
  <c r="J57" i="7"/>
  <c r="AQ57" i="7"/>
  <c r="AU66" i="7"/>
  <c r="H66" i="7"/>
  <c r="BG86" i="7"/>
  <c r="AA86" i="7" s="1"/>
  <c r="I86" i="7"/>
  <c r="AV86" i="7"/>
  <c r="AJ96" i="7"/>
  <c r="AS93" i="7" s="1"/>
  <c r="J93" i="7"/>
  <c r="BD168" i="7"/>
  <c r="L167" i="7"/>
  <c r="BG175" i="7"/>
  <c r="AE175" i="7" s="1"/>
  <c r="I175" i="7"/>
  <c r="I174" i="7" s="1"/>
  <c r="AV175" i="7"/>
  <c r="BG178" i="7"/>
  <c r="AE178" i="7" s="1"/>
  <c r="AV178" i="7"/>
  <c r="I178" i="7"/>
  <c r="I177" i="7" s="1"/>
  <c r="BG183" i="7"/>
  <c r="AV183" i="7"/>
  <c r="I183" i="7"/>
  <c r="BG188" i="7"/>
  <c r="AV188" i="7"/>
  <c r="I188" i="7"/>
  <c r="BG192" i="7"/>
  <c r="AV192" i="7"/>
  <c r="I192" i="7"/>
  <c r="L15" i="7"/>
  <c r="BG35" i="7"/>
  <c r="AA35" i="7" s="1"/>
  <c r="I35" i="7"/>
  <c r="AV35" i="7"/>
  <c r="BG40" i="7"/>
  <c r="AA40" i="7" s="1"/>
  <c r="I40" i="7"/>
  <c r="BG48" i="7"/>
  <c r="AA48" i="7" s="1"/>
  <c r="I48" i="7"/>
  <c r="BG127" i="7"/>
  <c r="AA127" i="7" s="1"/>
  <c r="AV127" i="7"/>
  <c r="BG143" i="7"/>
  <c r="AA143" i="7" s="1"/>
  <c r="I143" i="7"/>
  <c r="BD159" i="7"/>
  <c r="L157" i="7"/>
  <c r="BG38" i="7"/>
  <c r="AA38" i="7" s="1"/>
  <c r="I38" i="7"/>
  <c r="AV38" i="7"/>
  <c r="AV40" i="7"/>
  <c r="BG46" i="7"/>
  <c r="AA46" i="7" s="1"/>
  <c r="I46" i="7"/>
  <c r="AV46" i="7"/>
  <c r="AV48" i="7"/>
  <c r="AS52" i="7"/>
  <c r="BG60" i="7"/>
  <c r="AA60" i="7" s="1"/>
  <c r="AV60" i="7"/>
  <c r="I60" i="7"/>
  <c r="BD77" i="7"/>
  <c r="L74" i="7"/>
  <c r="AU81" i="7"/>
  <c r="H81" i="7"/>
  <c r="H80" i="7" s="1"/>
  <c r="BD121" i="7"/>
  <c r="L120" i="7"/>
  <c r="BG123" i="7"/>
  <c r="AA123" i="7" s="1"/>
  <c r="AV123" i="7"/>
  <c r="BG151" i="7"/>
  <c r="AA151" i="7" s="1"/>
  <c r="I151" i="7"/>
  <c r="J15" i="7"/>
  <c r="BF18" i="7"/>
  <c r="Z18" i="7" s="1"/>
  <c r="AU18" i="7"/>
  <c r="BF30" i="7"/>
  <c r="Z30" i="7" s="1"/>
  <c r="AU30" i="7"/>
  <c r="I32" i="7"/>
  <c r="AS57" i="7"/>
  <c r="AR57" i="7"/>
  <c r="BG72" i="7"/>
  <c r="AA72" i="7" s="1"/>
  <c r="I72" i="7"/>
  <c r="AV72" i="7"/>
  <c r="AU75" i="7"/>
  <c r="H75" i="7"/>
  <c r="BG84" i="7"/>
  <c r="AA84" i="7" s="1"/>
  <c r="AV84" i="7"/>
  <c r="I84" i="7"/>
  <c r="I83" i="7" s="1"/>
  <c r="BG116" i="7"/>
  <c r="AA116" i="7" s="1"/>
  <c r="AV116" i="7"/>
  <c r="AJ165" i="7"/>
  <c r="AS164" i="7" s="1"/>
  <c r="J164" i="7"/>
  <c r="BG165" i="7"/>
  <c r="I165" i="7"/>
  <c r="I164" i="7" s="1"/>
  <c r="BD141" i="7"/>
  <c r="L140" i="7"/>
  <c r="BD155" i="7"/>
  <c r="L154" i="7"/>
  <c r="AQ157" i="7"/>
  <c r="BA180" i="7"/>
  <c r="AT180" i="7"/>
  <c r="BA185" i="7"/>
  <c r="AT185" i="7"/>
  <c r="BA189" i="7"/>
  <c r="AT189" i="7"/>
  <c r="BA193" i="7"/>
  <c r="AT193" i="7"/>
  <c r="BF24" i="7"/>
  <c r="Z24" i="7" s="1"/>
  <c r="BG28" i="7"/>
  <c r="AA28" i="7" s="1"/>
  <c r="AV58" i="7"/>
  <c r="AV66" i="7"/>
  <c r="I68" i="7"/>
  <c r="AV70" i="7"/>
  <c r="H72" i="7"/>
  <c r="J74" i="7"/>
  <c r="AV75" i="7"/>
  <c r="I77" i="7"/>
  <c r="I74" i="7" s="1"/>
  <c r="AV78" i="7"/>
  <c r="AV81" i="7"/>
  <c r="H84" i="7"/>
  <c r="BD89" i="7"/>
  <c r="L88" i="7"/>
  <c r="AT132" i="7"/>
  <c r="BF138" i="7"/>
  <c r="Z138" i="7" s="1"/>
  <c r="AU138" i="7"/>
  <c r="H138" i="7"/>
  <c r="BF145" i="7"/>
  <c r="Z145" i="7" s="1"/>
  <c r="AU145" i="7"/>
  <c r="H145" i="7"/>
  <c r="BF153" i="7"/>
  <c r="Z153" i="7" s="1"/>
  <c r="AU153" i="7"/>
  <c r="H153" i="7"/>
  <c r="H157" i="7"/>
  <c r="AR157" i="7"/>
  <c r="L177" i="7"/>
  <c r="L182" i="7"/>
  <c r="BG186" i="7"/>
  <c r="AV186" i="7"/>
  <c r="I186" i="7"/>
  <c r="BG190" i="7"/>
  <c r="AV190" i="7"/>
  <c r="I190" i="7"/>
  <c r="BG194" i="7"/>
  <c r="AV194" i="7"/>
  <c r="I194" i="7"/>
  <c r="AV199" i="7"/>
  <c r="BG89" i="7"/>
  <c r="AA89" i="7" s="1"/>
  <c r="I89" i="7"/>
  <c r="AJ99" i="7"/>
  <c r="AS98" i="7" s="1"/>
  <c r="J98" i="7"/>
  <c r="BF166" i="7"/>
  <c r="H166" i="7"/>
  <c r="AU166" i="7"/>
  <c r="AQ15" i="7"/>
  <c r="AV33" i="7"/>
  <c r="AV44" i="7"/>
  <c r="AV55" i="7"/>
  <c r="I58" i="7"/>
  <c r="L83" i="7"/>
  <c r="AR93" i="7"/>
  <c r="AJ104" i="7"/>
  <c r="J101" i="7"/>
  <c r="BG110" i="7"/>
  <c r="AA110" i="7" s="1"/>
  <c r="I110" i="7"/>
  <c r="I101" i="7" s="1"/>
  <c r="J120" i="7"/>
  <c r="AQ131" i="7"/>
  <c r="BF136" i="7"/>
  <c r="Z136" i="7" s="1"/>
  <c r="AU136" i="7"/>
  <c r="H136" i="7"/>
  <c r="BG141" i="7"/>
  <c r="AA141" i="7" s="1"/>
  <c r="I141" i="7"/>
  <c r="BF143" i="7"/>
  <c r="Z143" i="7" s="1"/>
  <c r="AU143" i="7"/>
  <c r="H143" i="7"/>
  <c r="BG149" i="7"/>
  <c r="AA149" i="7" s="1"/>
  <c r="I149" i="7"/>
  <c r="BF151" i="7"/>
  <c r="Z151" i="7" s="1"/>
  <c r="AU151" i="7"/>
  <c r="H151" i="7"/>
  <c r="BG155" i="7"/>
  <c r="AA155" i="7" s="1"/>
  <c r="I155" i="7"/>
  <c r="I154" i="7" s="1"/>
  <c r="BF165" i="7"/>
  <c r="H165" i="7"/>
  <c r="H164" i="7" s="1"/>
  <c r="AU165" i="7"/>
  <c r="BF170" i="7"/>
  <c r="H170" i="7"/>
  <c r="H169" i="7" s="1"/>
  <c r="AU170" i="7"/>
  <c r="AU172" i="7"/>
  <c r="BF175" i="7"/>
  <c r="AD175" i="7" s="1"/>
  <c r="AU175" i="7"/>
  <c r="H175" i="7"/>
  <c r="H174" i="7" s="1"/>
  <c r="AU187" i="7"/>
  <c r="AU191" i="7"/>
  <c r="AU195" i="7"/>
  <c r="BF201" i="7"/>
  <c r="AU201" i="7"/>
  <c r="H134" i="7"/>
  <c r="H131" i="7" s="1"/>
  <c r="AR131" i="7"/>
  <c r="AR140" i="7"/>
  <c r="I159" i="7"/>
  <c r="I161" i="7"/>
  <c r="I163" i="7"/>
  <c r="I168" i="7"/>
  <c r="I167" i="7" s="1"/>
  <c r="L171" i="7"/>
  <c r="H178" i="7"/>
  <c r="H177" i="7" s="1"/>
  <c r="AR177" i="7"/>
  <c r="AU178" i="7"/>
  <c r="H183" i="7"/>
  <c r="AU183" i="7"/>
  <c r="H186" i="7"/>
  <c r="AU186" i="7"/>
  <c r="H188" i="7"/>
  <c r="AU188" i="7"/>
  <c r="H190" i="7"/>
  <c r="AU190" i="7"/>
  <c r="H192" i="7"/>
  <c r="AU192" i="7"/>
  <c r="H194" i="7"/>
  <c r="AU194" i="7"/>
  <c r="I197" i="7"/>
  <c r="AV197" i="7"/>
  <c r="AT197" i="7" s="1"/>
  <c r="H120" i="7"/>
  <c r="AT24" i="7"/>
  <c r="BA24" i="7"/>
  <c r="AT28" i="7"/>
  <c r="BA28" i="7"/>
  <c r="AJ24" i="7"/>
  <c r="AS15" i="7" s="1"/>
  <c r="AT68" i="7"/>
  <c r="BA68" i="7"/>
  <c r="AT77" i="7"/>
  <c r="BA77" i="7"/>
  <c r="I26" i="7"/>
  <c r="BD26" i="7"/>
  <c r="I30" i="7"/>
  <c r="AT62" i="7"/>
  <c r="BA62" i="7"/>
  <c r="BF62" i="7"/>
  <c r="Z62" i="7" s="1"/>
  <c r="AT70" i="7"/>
  <c r="BA70" i="7"/>
  <c r="BF70" i="7"/>
  <c r="Z70" i="7" s="1"/>
  <c r="AT78" i="7"/>
  <c r="BA78" i="7"/>
  <c r="BF78" i="7"/>
  <c r="Z78" i="7" s="1"/>
  <c r="AU112" i="7"/>
  <c r="H112" i="7"/>
  <c r="BF112" i="7"/>
  <c r="Z112" i="7" s="1"/>
  <c r="AJ136" i="7"/>
  <c r="AJ151" i="7"/>
  <c r="BF68" i="7"/>
  <c r="Z68" i="7" s="1"/>
  <c r="BF77" i="7"/>
  <c r="Z77" i="7" s="1"/>
  <c r="BF86" i="7"/>
  <c r="Z86" i="7" s="1"/>
  <c r="AU86" i="7"/>
  <c r="AV13" i="7"/>
  <c r="AV16" i="7"/>
  <c r="AT16" i="7" s="1"/>
  <c r="AV18" i="7"/>
  <c r="AT18" i="7" s="1"/>
  <c r="AV20" i="7"/>
  <c r="AT20" i="7" s="1"/>
  <c r="AV22" i="7"/>
  <c r="AT22" i="7" s="1"/>
  <c r="H24" i="7"/>
  <c r="H15" i="7" s="1"/>
  <c r="AV26" i="7"/>
  <c r="AT26" i="7" s="1"/>
  <c r="H28" i="7"/>
  <c r="AV30" i="7"/>
  <c r="AT30" i="7" s="1"/>
  <c r="H33" i="7"/>
  <c r="H35" i="7"/>
  <c r="H38" i="7"/>
  <c r="H40" i="7"/>
  <c r="H42" i="7"/>
  <c r="H44" i="7"/>
  <c r="H46" i="7"/>
  <c r="H48" i="7"/>
  <c r="H50" i="7"/>
  <c r="H53" i="7"/>
  <c r="H55" i="7"/>
  <c r="L57" i="7"/>
  <c r="H58" i="7"/>
  <c r="H60" i="7"/>
  <c r="H62" i="7"/>
  <c r="AT64" i="7"/>
  <c r="BA64" i="7"/>
  <c r="BF64" i="7"/>
  <c r="Z64" i="7" s="1"/>
  <c r="H68" i="7"/>
  <c r="AT72" i="7"/>
  <c r="BA72" i="7"/>
  <c r="BF72" i="7"/>
  <c r="Z72" i="7" s="1"/>
  <c r="H77" i="7"/>
  <c r="BF81" i="7"/>
  <c r="Z81" i="7" s="1"/>
  <c r="H86" i="7"/>
  <c r="AU104" i="7"/>
  <c r="H104" i="7"/>
  <c r="BF104" i="7"/>
  <c r="Z104" i="7" s="1"/>
  <c r="AT127" i="7"/>
  <c r="BA127" i="7"/>
  <c r="BF127" i="7"/>
  <c r="Z127" i="7" s="1"/>
  <c r="AJ147" i="7"/>
  <c r="L93" i="7"/>
  <c r="AU114" i="7"/>
  <c r="H114" i="7"/>
  <c r="BA26" i="7"/>
  <c r="AU33" i="7"/>
  <c r="AU35" i="7"/>
  <c r="AU38" i="7"/>
  <c r="AU40" i="7"/>
  <c r="AU42" i="7"/>
  <c r="AU44" i="7"/>
  <c r="AU46" i="7"/>
  <c r="AU48" i="7"/>
  <c r="AU50" i="7"/>
  <c r="AU53" i="7"/>
  <c r="AU55" i="7"/>
  <c r="AU58" i="7"/>
  <c r="AU60" i="7"/>
  <c r="AT66" i="7"/>
  <c r="BA66" i="7"/>
  <c r="BF66" i="7"/>
  <c r="Z66" i="7" s="1"/>
  <c r="H70" i="7"/>
  <c r="BA75" i="7"/>
  <c r="BF75" i="7"/>
  <c r="Z75" i="7" s="1"/>
  <c r="H78" i="7"/>
  <c r="AT84" i="7"/>
  <c r="BA84" i="7"/>
  <c r="BF84" i="7"/>
  <c r="Z84" i="7" s="1"/>
  <c r="AU91" i="7"/>
  <c r="BF91" i="7"/>
  <c r="Z91" i="7" s="1"/>
  <c r="H91" i="7"/>
  <c r="H88" i="7" s="1"/>
  <c r="AU99" i="7"/>
  <c r="H99" i="7"/>
  <c r="H98" i="7" s="1"/>
  <c r="BF99" i="7"/>
  <c r="Z99" i="7" s="1"/>
  <c r="AJ143" i="7"/>
  <c r="AV89" i="7"/>
  <c r="AT89" i="7" s="1"/>
  <c r="H96" i="7"/>
  <c r="H93" i="7" s="1"/>
  <c r="H102" i="7"/>
  <c r="AT106" i="7"/>
  <c r="BA106" i="7"/>
  <c r="BF106" i="7"/>
  <c r="Z106" i="7" s="1"/>
  <c r="H110" i="7"/>
  <c r="AS101" i="7"/>
  <c r="AS120" i="7"/>
  <c r="AT125" i="7"/>
  <c r="BA125" i="7"/>
  <c r="BF125" i="7"/>
  <c r="Z125" i="7" s="1"/>
  <c r="AJ183" i="7"/>
  <c r="J182" i="7"/>
  <c r="AJ186" i="7"/>
  <c r="AJ188" i="7"/>
  <c r="AJ190" i="7"/>
  <c r="AJ192" i="7"/>
  <c r="AJ194" i="7"/>
  <c r="I91" i="7"/>
  <c r="AV91" i="7"/>
  <c r="AT94" i="7"/>
  <c r="BA94" i="7"/>
  <c r="BF94" i="7"/>
  <c r="Z94" i="7" s="1"/>
  <c r="L101" i="7"/>
  <c r="AT108" i="7"/>
  <c r="BA108" i="7"/>
  <c r="BF108" i="7"/>
  <c r="Z108" i="7" s="1"/>
  <c r="AT118" i="7"/>
  <c r="BA118" i="7"/>
  <c r="BF118" i="7"/>
  <c r="Z118" i="7" s="1"/>
  <c r="AT123" i="7"/>
  <c r="BA123" i="7"/>
  <c r="BF123" i="7"/>
  <c r="Z123" i="7" s="1"/>
  <c r="AJ138" i="7"/>
  <c r="AJ141" i="7"/>
  <c r="AJ145" i="7"/>
  <c r="AJ149" i="7"/>
  <c r="AJ153" i="7"/>
  <c r="AJ155" i="7"/>
  <c r="AS154" i="7" s="1"/>
  <c r="AT96" i="7"/>
  <c r="BA96" i="7"/>
  <c r="BF96" i="7"/>
  <c r="Z96" i="7" s="1"/>
  <c r="AT102" i="7"/>
  <c r="BA102" i="7"/>
  <c r="BF102" i="7"/>
  <c r="Z102" i="7" s="1"/>
  <c r="AT110" i="7"/>
  <c r="BA110" i="7"/>
  <c r="BF110" i="7"/>
  <c r="Z110" i="7" s="1"/>
  <c r="AT116" i="7"/>
  <c r="BA116" i="7"/>
  <c r="BF116" i="7"/>
  <c r="Z116" i="7" s="1"/>
  <c r="AT121" i="7"/>
  <c r="BA121" i="7"/>
  <c r="BF121" i="7"/>
  <c r="Z121" i="7" s="1"/>
  <c r="AT129" i="7"/>
  <c r="BA129" i="7"/>
  <c r="BF129" i="7"/>
  <c r="Z129" i="7" s="1"/>
  <c r="J131" i="7"/>
  <c r="AJ134" i="7"/>
  <c r="AJ180" i="7"/>
  <c r="AR182" i="7"/>
  <c r="AJ163" i="7"/>
  <c r="AJ199" i="7"/>
  <c r="AJ161" i="7"/>
  <c r="AJ168" i="7"/>
  <c r="AS167" i="7" s="1"/>
  <c r="AJ172" i="7"/>
  <c r="AS171" i="7" s="1"/>
  <c r="AJ175" i="7"/>
  <c r="AS174" i="7" s="1"/>
  <c r="AJ178" i="7"/>
  <c r="AJ185" i="7"/>
  <c r="AJ187" i="7"/>
  <c r="AJ189" i="7"/>
  <c r="AJ191" i="7"/>
  <c r="AJ193" i="7"/>
  <c r="AJ195" i="7"/>
  <c r="AJ201" i="7"/>
  <c r="BG132" i="7"/>
  <c r="AA132" i="7" s="1"/>
  <c r="BG134" i="7"/>
  <c r="AA134" i="7" s="1"/>
  <c r="AV134" i="7"/>
  <c r="AT134" i="7" s="1"/>
  <c r="AJ170" i="7"/>
  <c r="AS169" i="7" s="1"/>
  <c r="AJ197" i="7"/>
  <c r="AV136" i="7"/>
  <c r="AV138" i="7"/>
  <c r="AT138" i="7" s="1"/>
  <c r="AV141" i="7"/>
  <c r="AT141" i="7" s="1"/>
  <c r="AV143" i="7"/>
  <c r="AT143" i="7" s="1"/>
  <c r="AV145" i="7"/>
  <c r="AV147" i="7"/>
  <c r="AT147" i="7" s="1"/>
  <c r="AV149" i="7"/>
  <c r="AT149" i="7" s="1"/>
  <c r="AV151" i="7"/>
  <c r="AT151" i="7" s="1"/>
  <c r="AV153" i="7"/>
  <c r="AT153" i="7" s="1"/>
  <c r="AV155" i="7"/>
  <c r="AT155" i="7" s="1"/>
  <c r="AV158" i="7"/>
  <c r="AT158" i="7" s="1"/>
  <c r="AV159" i="7"/>
  <c r="AT159" i="7" s="1"/>
  <c r="AV161" i="7"/>
  <c r="BA161" i="7" s="1"/>
  <c r="AV163" i="7"/>
  <c r="AT163" i="7" s="1"/>
  <c r="AV165" i="7"/>
  <c r="AT165" i="7" s="1"/>
  <c r="AV166" i="7"/>
  <c r="AT166" i="7" s="1"/>
  <c r="AV168" i="7"/>
  <c r="AT168" i="7" s="1"/>
  <c r="AV170" i="7"/>
  <c r="AV201" i="7"/>
  <c r="AT201" i="7" s="1"/>
  <c r="BA43" i="6"/>
  <c r="AT43" i="6"/>
  <c r="AT19" i="6"/>
  <c r="BA19" i="6"/>
  <c r="AT50" i="6"/>
  <c r="BA50" i="6"/>
  <c r="BA29" i="6"/>
  <c r="AT29" i="6"/>
  <c r="AT55" i="6"/>
  <c r="BA55" i="6"/>
  <c r="AT27" i="6"/>
  <c r="BA27" i="6"/>
  <c r="AT41" i="6"/>
  <c r="BA41" i="6"/>
  <c r="AS54" i="6"/>
  <c r="BA57" i="6"/>
  <c r="AT57" i="6"/>
  <c r="AT63" i="6"/>
  <c r="BA63" i="6"/>
  <c r="AT71" i="6"/>
  <c r="BA71" i="6"/>
  <c r="AT70" i="6"/>
  <c r="BA70" i="6"/>
  <c r="AT13" i="6"/>
  <c r="BA13" i="6"/>
  <c r="AS18" i="6"/>
  <c r="BA21" i="6"/>
  <c r="BA35" i="6"/>
  <c r="AT35" i="6"/>
  <c r="AT76" i="6"/>
  <c r="BA76" i="6"/>
  <c r="BF13" i="6"/>
  <c r="Z13" i="6" s="1"/>
  <c r="BF19" i="6"/>
  <c r="Z19" i="6" s="1"/>
  <c r="BG21" i="6"/>
  <c r="AA21" i="6" s="1"/>
  <c r="BF27" i="6"/>
  <c r="Z27" i="6" s="1"/>
  <c r="BG43" i="6"/>
  <c r="AA43" i="6" s="1"/>
  <c r="BF55" i="6"/>
  <c r="Z55" i="6" s="1"/>
  <c r="BG65" i="6"/>
  <c r="AA65" i="6" s="1"/>
  <c r="AU92" i="6"/>
  <c r="H92" i="6"/>
  <c r="H91" i="6" s="1"/>
  <c r="AT98" i="6"/>
  <c r="BA98" i="6"/>
  <c r="AT112" i="6"/>
  <c r="BA112" i="6"/>
  <c r="AU114" i="6"/>
  <c r="H114" i="6"/>
  <c r="L12" i="6"/>
  <c r="H13" i="6"/>
  <c r="H12" i="6" s="1"/>
  <c r="BG13" i="6"/>
  <c r="AA13" i="6" s="1"/>
  <c r="AJ16" i="6"/>
  <c r="AS15" i="6" s="1"/>
  <c r="L18" i="6"/>
  <c r="H19" i="6"/>
  <c r="BG19" i="6"/>
  <c r="AA19" i="6" s="1"/>
  <c r="I21" i="6"/>
  <c r="H27" i="6"/>
  <c r="I29" i="6"/>
  <c r="J31" i="6"/>
  <c r="J212" i="6" s="1"/>
  <c r="F26" i="4" s="1"/>
  <c r="G26" i="4" s="1"/>
  <c r="I35" i="6"/>
  <c r="H41" i="6"/>
  <c r="I43" i="6"/>
  <c r="I50" i="6"/>
  <c r="I49" i="6" s="1"/>
  <c r="AU52" i="6"/>
  <c r="L54" i="6"/>
  <c r="H55" i="6"/>
  <c r="I57" i="6"/>
  <c r="AU59" i="6"/>
  <c r="AV61" i="6"/>
  <c r="AT61" i="6" s="1"/>
  <c r="H63" i="6"/>
  <c r="I65" i="6"/>
  <c r="J67" i="6"/>
  <c r="AV68" i="6"/>
  <c r="H70" i="6"/>
  <c r="H67" i="6" s="1"/>
  <c r="I71" i="6"/>
  <c r="I67" i="6" s="1"/>
  <c r="J73" i="6"/>
  <c r="H76" i="6"/>
  <c r="H73" i="6" s="1"/>
  <c r="AU86" i="6"/>
  <c r="H86" i="6"/>
  <c r="H83" i="6" s="1"/>
  <c r="BF86" i="6"/>
  <c r="Z86" i="6" s="1"/>
  <c r="AV109" i="6"/>
  <c r="I109" i="6"/>
  <c r="BG109" i="6"/>
  <c r="AA109" i="6" s="1"/>
  <c r="AS111" i="6"/>
  <c r="AV124" i="6"/>
  <c r="I124" i="6"/>
  <c r="AJ138" i="6"/>
  <c r="AS137" i="6" s="1"/>
  <c r="J137" i="6"/>
  <c r="J163" i="6"/>
  <c r="AJ164" i="6"/>
  <c r="AS163" i="6" s="1"/>
  <c r="I177" i="6"/>
  <c r="BG177" i="6"/>
  <c r="AV177" i="6"/>
  <c r="BA177" i="6" s="1"/>
  <c r="AT183" i="6"/>
  <c r="BA183" i="6"/>
  <c r="AV194" i="6"/>
  <c r="I194" i="6"/>
  <c r="BG194" i="6"/>
  <c r="AU197" i="6"/>
  <c r="H197" i="6"/>
  <c r="BF197" i="6"/>
  <c r="BG35" i="6"/>
  <c r="AA35" i="6" s="1"/>
  <c r="BG57" i="6"/>
  <c r="AA57" i="6" s="1"/>
  <c r="BF63" i="6"/>
  <c r="Z63" i="6" s="1"/>
  <c r="BG71" i="6"/>
  <c r="AA71" i="6" s="1"/>
  <c r="AT84" i="6"/>
  <c r="BA84" i="6"/>
  <c r="BF16" i="6"/>
  <c r="Z16" i="6" s="1"/>
  <c r="BF23" i="6"/>
  <c r="Z23" i="6" s="1"/>
  <c r="BA25" i="6"/>
  <c r="BG25" i="6"/>
  <c r="AA25" i="6" s="1"/>
  <c r="BG32" i="6"/>
  <c r="AA32" i="6" s="1"/>
  <c r="AJ35" i="6"/>
  <c r="AS34" i="6" s="1"/>
  <c r="BF37" i="6"/>
  <c r="Z37" i="6" s="1"/>
  <c r="BA39" i="6"/>
  <c r="BG39" i="6"/>
  <c r="AA39" i="6" s="1"/>
  <c r="BF45" i="6"/>
  <c r="Z45" i="6" s="1"/>
  <c r="BA47" i="6"/>
  <c r="BG47" i="6"/>
  <c r="AA47" i="6" s="1"/>
  <c r="AJ50" i="6"/>
  <c r="AS49" i="6" s="1"/>
  <c r="BF52" i="6"/>
  <c r="Z52" i="6" s="1"/>
  <c r="BF59" i="6"/>
  <c r="Z59" i="6" s="1"/>
  <c r="BA61" i="6"/>
  <c r="BG61" i="6"/>
  <c r="AA61" i="6" s="1"/>
  <c r="L67" i="6"/>
  <c r="BG68" i="6"/>
  <c r="AA68" i="6" s="1"/>
  <c r="BA74" i="6"/>
  <c r="BG74" i="6"/>
  <c r="AA74" i="6" s="1"/>
  <c r="AU107" i="6"/>
  <c r="H107" i="6"/>
  <c r="BF107" i="6"/>
  <c r="Z107" i="6" s="1"/>
  <c r="J111" i="6"/>
  <c r="AT120" i="6"/>
  <c r="BA120" i="6"/>
  <c r="AU122" i="6"/>
  <c r="H122" i="6"/>
  <c r="BF122" i="6"/>
  <c r="Z122" i="6" s="1"/>
  <c r="BG124" i="6"/>
  <c r="AA124" i="6" s="1"/>
  <c r="I134" i="6"/>
  <c r="BG134" i="6"/>
  <c r="AA134" i="6" s="1"/>
  <c r="AV134" i="6"/>
  <c r="AT134" i="6" s="1"/>
  <c r="AU146" i="6"/>
  <c r="H146" i="6"/>
  <c r="H140" i="6" s="1"/>
  <c r="BF146" i="6"/>
  <c r="J157" i="6"/>
  <c r="AJ158" i="6"/>
  <c r="AS157" i="6" s="1"/>
  <c r="AJ171" i="6"/>
  <c r="AS170" i="6" s="1"/>
  <c r="BG29" i="6"/>
  <c r="AA29" i="6" s="1"/>
  <c r="BF41" i="6"/>
  <c r="Z41" i="6" s="1"/>
  <c r="BG50" i="6"/>
  <c r="AA50" i="6" s="1"/>
  <c r="BF70" i="6"/>
  <c r="Z70" i="6" s="1"/>
  <c r="BF76" i="6"/>
  <c r="Z76" i="6" s="1"/>
  <c r="AU79" i="6"/>
  <c r="H79" i="6"/>
  <c r="H78" i="6" s="1"/>
  <c r="BD86" i="6"/>
  <c r="L83" i="6"/>
  <c r="BF92" i="6"/>
  <c r="Z92" i="6" s="1"/>
  <c r="BF114" i="6"/>
  <c r="Z114" i="6" s="1"/>
  <c r="AV155" i="6"/>
  <c r="BA155" i="6" s="1"/>
  <c r="I155" i="6"/>
  <c r="I154" i="6" s="1"/>
  <c r="BG155" i="6"/>
  <c r="AE155" i="6" s="1"/>
  <c r="AV81" i="6"/>
  <c r="I81" i="6"/>
  <c r="I78" i="6" s="1"/>
  <c r="BD92" i="6"/>
  <c r="L91" i="6"/>
  <c r="AV94" i="6"/>
  <c r="I94" i="6"/>
  <c r="I91" i="6" s="1"/>
  <c r="AV101" i="6"/>
  <c r="I101" i="6"/>
  <c r="I100" i="6" s="1"/>
  <c r="BG101" i="6"/>
  <c r="AA101" i="6" s="1"/>
  <c r="L111" i="6"/>
  <c r="AQ111" i="6"/>
  <c r="AV116" i="6"/>
  <c r="I116" i="6"/>
  <c r="AU130" i="6"/>
  <c r="H130" i="6"/>
  <c r="BF130" i="6"/>
  <c r="Z130" i="6" s="1"/>
  <c r="BG132" i="6"/>
  <c r="AA132" i="6" s="1"/>
  <c r="AV132" i="6"/>
  <c r="AT132" i="6" s="1"/>
  <c r="I132" i="6"/>
  <c r="AT149" i="6"/>
  <c r="BA149" i="6"/>
  <c r="AJ89" i="6"/>
  <c r="AS88" i="6" s="1"/>
  <c r="BD89" i="6"/>
  <c r="BF98" i="6"/>
  <c r="Z98" i="6" s="1"/>
  <c r="BF105" i="6"/>
  <c r="Z105" i="6" s="1"/>
  <c r="BG107" i="6"/>
  <c r="AA107" i="6" s="1"/>
  <c r="BF112" i="6"/>
  <c r="Z112" i="6" s="1"/>
  <c r="BG114" i="6"/>
  <c r="AA114" i="6" s="1"/>
  <c r="BF120" i="6"/>
  <c r="Z120" i="6" s="1"/>
  <c r="BG122" i="6"/>
  <c r="AA122" i="6" s="1"/>
  <c r="BF128" i="6"/>
  <c r="Z128" i="6" s="1"/>
  <c r="BG130" i="6"/>
  <c r="AA130" i="6" s="1"/>
  <c r="I138" i="6"/>
  <c r="I137" i="6" s="1"/>
  <c r="BG138" i="6"/>
  <c r="AA138" i="6" s="1"/>
  <c r="AV138" i="6"/>
  <c r="AJ149" i="6"/>
  <c r="AS147" i="6" s="1"/>
  <c r="AT155" i="6"/>
  <c r="AV161" i="6"/>
  <c r="I161" i="6"/>
  <c r="I160" i="6" s="1"/>
  <c r="BD166" i="6"/>
  <c r="L163" i="6"/>
  <c r="AV168" i="6"/>
  <c r="BA168" i="6" s="1"/>
  <c r="I168" i="6"/>
  <c r="I163" i="6" s="1"/>
  <c r="BF173" i="6"/>
  <c r="AU173" i="6"/>
  <c r="H173" i="6"/>
  <c r="AU202" i="6"/>
  <c r="H202" i="6"/>
  <c r="BF202" i="6"/>
  <c r="AU81" i="6"/>
  <c r="AU94" i="6"/>
  <c r="AV96" i="6"/>
  <c r="AT96" i="6" s="1"/>
  <c r="AJ101" i="6"/>
  <c r="AS100" i="6" s="1"/>
  <c r="BG112" i="6"/>
  <c r="AA112" i="6" s="1"/>
  <c r="BF118" i="6"/>
  <c r="Z118" i="6" s="1"/>
  <c r="BG120" i="6"/>
  <c r="AA120" i="6" s="1"/>
  <c r="BF126" i="6"/>
  <c r="Z126" i="6" s="1"/>
  <c r="BG128" i="6"/>
  <c r="AA128" i="6" s="1"/>
  <c r="I136" i="6"/>
  <c r="AT138" i="6"/>
  <c r="AV151" i="6"/>
  <c r="I151" i="6"/>
  <c r="I150" i="6" s="1"/>
  <c r="AJ153" i="6"/>
  <c r="AS152" i="6" s="1"/>
  <c r="BG161" i="6"/>
  <c r="AE161" i="6" s="1"/>
  <c r="AU166" i="6"/>
  <c r="H166" i="6"/>
  <c r="H163" i="6" s="1"/>
  <c r="BF166" i="6"/>
  <c r="AD166" i="6" s="1"/>
  <c r="BG168" i="6"/>
  <c r="AE168" i="6" s="1"/>
  <c r="BD173" i="6"/>
  <c r="L170" i="6"/>
  <c r="AT187" i="6"/>
  <c r="BA187" i="6"/>
  <c r="BG136" i="6"/>
  <c r="AA136" i="6" s="1"/>
  <c r="BA138" i="6"/>
  <c r="AV141" i="6"/>
  <c r="BA141" i="6" s="1"/>
  <c r="I141" i="6"/>
  <c r="I140" i="6" s="1"/>
  <c r="BG151" i="6"/>
  <c r="AU142" i="6"/>
  <c r="AV144" i="6"/>
  <c r="BA144" i="6" s="1"/>
  <c r="AU148" i="6"/>
  <c r="BD148" i="6"/>
  <c r="AV153" i="6"/>
  <c r="AT153" i="6" s="1"/>
  <c r="AV158" i="6"/>
  <c r="AT158" i="6" s="1"/>
  <c r="AV164" i="6"/>
  <c r="BA164" i="6" s="1"/>
  <c r="AV171" i="6"/>
  <c r="AT171" i="6" s="1"/>
  <c r="I178" i="6"/>
  <c r="BA178" i="6"/>
  <c r="AU180" i="6"/>
  <c r="H180" i="6"/>
  <c r="BF180" i="6"/>
  <c r="AT191" i="6"/>
  <c r="BA191" i="6"/>
  <c r="AV198" i="6"/>
  <c r="I198" i="6"/>
  <c r="AV203" i="6"/>
  <c r="I203" i="6"/>
  <c r="AU208" i="6"/>
  <c r="H208" i="6"/>
  <c r="BF208" i="6"/>
  <c r="AJ141" i="6"/>
  <c r="AS140" i="6" s="1"/>
  <c r="BF142" i="6"/>
  <c r="BG144" i="6"/>
  <c r="BF148" i="6"/>
  <c r="BG149" i="6"/>
  <c r="AJ151" i="6"/>
  <c r="AS150" i="6" s="1"/>
  <c r="BG153" i="6"/>
  <c r="AJ155" i="6"/>
  <c r="AS154" i="6" s="1"/>
  <c r="BG158" i="6"/>
  <c r="AE158" i="6" s="1"/>
  <c r="AJ161" i="6"/>
  <c r="AS160" i="6" s="1"/>
  <c r="BG164" i="6"/>
  <c r="AE164" i="6" s="1"/>
  <c r="BG171" i="6"/>
  <c r="AV181" i="6"/>
  <c r="I181" i="6"/>
  <c r="AU184" i="6"/>
  <c r="H184" i="6"/>
  <c r="BF184" i="6"/>
  <c r="AU188" i="6"/>
  <c r="H188" i="6"/>
  <c r="BF188" i="6"/>
  <c r="AT196" i="6"/>
  <c r="BA196" i="6"/>
  <c r="AV210" i="6"/>
  <c r="I210" i="6"/>
  <c r="BG174" i="6"/>
  <c r="AU176" i="6"/>
  <c r="BF176" i="6"/>
  <c r="AT177" i="6"/>
  <c r="AV185" i="6"/>
  <c r="I185" i="6"/>
  <c r="AV189" i="6"/>
  <c r="I189" i="6"/>
  <c r="AU193" i="6"/>
  <c r="H193" i="6"/>
  <c r="BF193" i="6"/>
  <c r="BF175" i="6"/>
  <c r="BG176" i="6"/>
  <c r="BF179" i="6"/>
  <c r="BG180" i="6"/>
  <c r="BF183" i="6"/>
  <c r="BG184" i="6"/>
  <c r="BF187" i="6"/>
  <c r="BG188" i="6"/>
  <c r="BF191" i="6"/>
  <c r="BG193" i="6"/>
  <c r="BF196" i="6"/>
  <c r="BG197" i="6"/>
  <c r="AU199" i="6"/>
  <c r="AV200" i="6"/>
  <c r="AT200" i="6" s="1"/>
  <c r="AV206" i="6"/>
  <c r="AT206" i="6" s="1"/>
  <c r="AU181" i="6"/>
  <c r="AV182" i="6"/>
  <c r="AU185" i="6"/>
  <c r="AV186" i="6"/>
  <c r="AU189" i="6"/>
  <c r="AV190" i="6"/>
  <c r="AU194" i="6"/>
  <c r="AV195" i="6"/>
  <c r="AU198" i="6"/>
  <c r="AV199" i="6"/>
  <c r="AU203" i="6"/>
  <c r="AV204" i="6"/>
  <c r="AU210" i="6"/>
  <c r="BA18" i="16" l="1"/>
  <c r="AT56" i="16"/>
  <c r="AT43" i="16"/>
  <c r="AT49" i="16"/>
  <c r="AT36" i="16"/>
  <c r="BA29" i="16"/>
  <c r="BA168" i="8"/>
  <c r="J180" i="8"/>
  <c r="F39" i="4" s="1"/>
  <c r="AT21" i="8"/>
  <c r="AT16" i="8"/>
  <c r="H155" i="8"/>
  <c r="BA162" i="8"/>
  <c r="AT90" i="15"/>
  <c r="AT82" i="15"/>
  <c r="AT63" i="15"/>
  <c r="AT43" i="15"/>
  <c r="AT88" i="15"/>
  <c r="AT81" i="15"/>
  <c r="AT50" i="15"/>
  <c r="AR40" i="15"/>
  <c r="BA31" i="15"/>
  <c r="I86" i="15"/>
  <c r="J89" i="14"/>
  <c r="E37" i="4" s="1"/>
  <c r="G37" i="4" s="1"/>
  <c r="H37" i="4" s="1"/>
  <c r="AT31" i="14"/>
  <c r="BA52" i="14"/>
  <c r="AT52" i="14"/>
  <c r="BA84" i="14"/>
  <c r="AT41" i="14"/>
  <c r="I26" i="14"/>
  <c r="AT75" i="14"/>
  <c r="H40" i="14"/>
  <c r="BA38" i="12"/>
  <c r="BA29" i="12"/>
  <c r="AT29" i="12"/>
  <c r="BA75" i="12"/>
  <c r="J89" i="12"/>
  <c r="E36" i="4" s="1"/>
  <c r="G36" i="4" s="1"/>
  <c r="H36" i="4" s="1"/>
  <c r="BA45" i="12"/>
  <c r="AT86" i="13"/>
  <c r="H82" i="13"/>
  <c r="I24" i="13"/>
  <c r="H51" i="13"/>
  <c r="BA47" i="13"/>
  <c r="AT37" i="10"/>
  <c r="AT46" i="10"/>
  <c r="BA92" i="10"/>
  <c r="I21" i="10"/>
  <c r="H21" i="10"/>
  <c r="BA60" i="10"/>
  <c r="I97" i="10"/>
  <c r="BA50" i="10"/>
  <c r="H105" i="9"/>
  <c r="H140" i="9"/>
  <c r="I140" i="9"/>
  <c r="BA103" i="9"/>
  <c r="BA164" i="9"/>
  <c r="AT110" i="9"/>
  <c r="AT92" i="9"/>
  <c r="I64" i="9"/>
  <c r="I96" i="9"/>
  <c r="AT54" i="9"/>
  <c r="BA32" i="9"/>
  <c r="J169" i="9"/>
  <c r="F33" i="4" s="1"/>
  <c r="AT18" i="9"/>
  <c r="AT139" i="9"/>
  <c r="AT118" i="9"/>
  <c r="AT88" i="9"/>
  <c r="BA67" i="9"/>
  <c r="I87" i="9"/>
  <c r="H51" i="9"/>
  <c r="I157" i="7"/>
  <c r="AT81" i="7"/>
  <c r="AS131" i="7"/>
  <c r="AT75" i="7"/>
  <c r="BA197" i="7"/>
  <c r="I182" i="7"/>
  <c r="AT68" i="20"/>
  <c r="BA29" i="20"/>
  <c r="BA56" i="20"/>
  <c r="BA99" i="20"/>
  <c r="H70" i="20"/>
  <c r="BA62" i="20"/>
  <c r="H38" i="20"/>
  <c r="BA34" i="20"/>
  <c r="AT34" i="20"/>
  <c r="BA68" i="21"/>
  <c r="BA70" i="21"/>
  <c r="AR91" i="21"/>
  <c r="BA78" i="21"/>
  <c r="AT102" i="21"/>
  <c r="AT86" i="21"/>
  <c r="AT17" i="21"/>
  <c r="BA81" i="21"/>
  <c r="BA66" i="21"/>
  <c r="AT51" i="22"/>
  <c r="BA20" i="22"/>
  <c r="BA15" i="22"/>
  <c r="BA36" i="22"/>
  <c r="AT27" i="22"/>
  <c r="I79" i="22"/>
  <c r="I17" i="22"/>
  <c r="H12" i="23"/>
  <c r="H47" i="23"/>
  <c r="AT39" i="23"/>
  <c r="I84" i="23"/>
  <c r="AT15" i="23"/>
  <c r="I54" i="6"/>
  <c r="AT144" i="6"/>
  <c r="BA128" i="6"/>
  <c r="H18" i="6"/>
  <c r="BA103" i="6"/>
  <c r="AT103" i="6"/>
  <c r="H26" i="4"/>
  <c r="H111" i="6"/>
  <c r="BA105" i="6"/>
  <c r="AT68" i="6"/>
  <c r="AT65" i="6"/>
  <c r="AT32" i="6"/>
  <c r="H170" i="6"/>
  <c r="BA175" i="6"/>
  <c r="AT164" i="6"/>
  <c r="I18" i="6"/>
  <c r="BA13" i="16"/>
  <c r="AT74" i="16"/>
  <c r="AT31" i="16"/>
  <c r="I51" i="16"/>
  <c r="BA43" i="16"/>
  <c r="BA56" i="16"/>
  <c r="I72" i="16"/>
  <c r="AT15" i="16"/>
  <c r="AT54" i="16"/>
  <c r="J78" i="16"/>
  <c r="E40" i="4" s="1"/>
  <c r="G40" i="4" s="1"/>
  <c r="H40" i="4" s="1"/>
  <c r="BA74" i="16"/>
  <c r="H17" i="16"/>
  <c r="AT22" i="16"/>
  <c r="AT73" i="16"/>
  <c r="BA20" i="16"/>
  <c r="AT20" i="16"/>
  <c r="H26" i="16"/>
  <c r="G41" i="4"/>
  <c r="H41" i="4" s="1"/>
  <c r="AT21" i="24"/>
  <c r="AT18" i="24"/>
  <c r="BA18" i="24"/>
  <c r="BA21" i="24"/>
  <c r="BA13" i="24"/>
  <c r="BA16" i="24"/>
  <c r="BA68" i="23"/>
  <c r="AT68" i="23"/>
  <c r="BA55" i="23"/>
  <c r="AT55" i="23"/>
  <c r="AT50" i="23"/>
  <c r="AT71" i="23"/>
  <c r="BA71" i="23"/>
  <c r="AT90" i="23"/>
  <c r="BA90" i="23"/>
  <c r="AT66" i="23"/>
  <c r="BA66" i="23"/>
  <c r="I38" i="23"/>
  <c r="AT88" i="23"/>
  <c r="BA86" i="23"/>
  <c r="AT86" i="23"/>
  <c r="AT64" i="23"/>
  <c r="BA64" i="23"/>
  <c r="BA82" i="23"/>
  <c r="BA27" i="23"/>
  <c r="AT27" i="23"/>
  <c r="BA13" i="23"/>
  <c r="AT13" i="23"/>
  <c r="AT45" i="23"/>
  <c r="BA45" i="23"/>
  <c r="AT85" i="23"/>
  <c r="BA85" i="23"/>
  <c r="BA61" i="23"/>
  <c r="AT61" i="23"/>
  <c r="BA93" i="23"/>
  <c r="AT43" i="23"/>
  <c r="BA43" i="23"/>
  <c r="J96" i="23"/>
  <c r="E27" i="4" s="1"/>
  <c r="BA41" i="23"/>
  <c r="AT41" i="23"/>
  <c r="AT52" i="23"/>
  <c r="BA52" i="23"/>
  <c r="AT95" i="23"/>
  <c r="BA95" i="23"/>
  <c r="AT79" i="23"/>
  <c r="BA79" i="23"/>
  <c r="BA92" i="23"/>
  <c r="AT92" i="23"/>
  <c r="BA74" i="23"/>
  <c r="AT74" i="23"/>
  <c r="BA48" i="23"/>
  <c r="AT48" i="23"/>
  <c r="AT58" i="23"/>
  <c r="BA58" i="23"/>
  <c r="AT77" i="23"/>
  <c r="BA77" i="23"/>
  <c r="BA34" i="23"/>
  <c r="AT34" i="23"/>
  <c r="AT80" i="22"/>
  <c r="BA80" i="22"/>
  <c r="AT45" i="22"/>
  <c r="AT54" i="22"/>
  <c r="BA54" i="22"/>
  <c r="AT88" i="22"/>
  <c r="AT77" i="22"/>
  <c r="J91" i="22"/>
  <c r="E28" i="4" s="1"/>
  <c r="AT61" i="22"/>
  <c r="BA61" i="22"/>
  <c r="AT74" i="22"/>
  <c r="BA74" i="22"/>
  <c r="BA87" i="22"/>
  <c r="AT87" i="22"/>
  <c r="BA43" i="22"/>
  <c r="AT43" i="22"/>
  <c r="BA32" i="22"/>
  <c r="AT32" i="22"/>
  <c r="BA18" i="22"/>
  <c r="AT18" i="22"/>
  <c r="AT90" i="22"/>
  <c r="BA90" i="22"/>
  <c r="BA69" i="22"/>
  <c r="AT69" i="22"/>
  <c r="AT72" i="22"/>
  <c r="BA72" i="22"/>
  <c r="BA83" i="22"/>
  <c r="BA57" i="22"/>
  <c r="AT66" i="22"/>
  <c r="BA66" i="22"/>
  <c r="BA81" i="22"/>
  <c r="AT81" i="22"/>
  <c r="BA63" i="22"/>
  <c r="AT63" i="22"/>
  <c r="AT85" i="22"/>
  <c r="BA85" i="22"/>
  <c r="AT59" i="22"/>
  <c r="BA59" i="22"/>
  <c r="AT48" i="22"/>
  <c r="BA48" i="22"/>
  <c r="BA21" i="21"/>
  <c r="AT93" i="21"/>
  <c r="AT70" i="21"/>
  <c r="AT29" i="21"/>
  <c r="AR12" i="21"/>
  <c r="BA75" i="21"/>
  <c r="AT75" i="21"/>
  <c r="BA52" i="21"/>
  <c r="AT52" i="21"/>
  <c r="BA47" i="21"/>
  <c r="AT47" i="21"/>
  <c r="AT92" i="21"/>
  <c r="AR40" i="21"/>
  <c r="AR26" i="21"/>
  <c r="BA27" i="21"/>
  <c r="I65" i="21"/>
  <c r="BA50" i="21"/>
  <c r="AT50" i="21"/>
  <c r="BA54" i="21"/>
  <c r="AT54" i="21"/>
  <c r="BA38" i="21"/>
  <c r="AT38" i="21"/>
  <c r="AT97" i="21"/>
  <c r="J106" i="21"/>
  <c r="E29" i="4" s="1"/>
  <c r="AR65" i="21"/>
  <c r="AT15" i="21"/>
  <c r="BA105" i="21"/>
  <c r="BA24" i="21"/>
  <c r="BA41" i="21"/>
  <c r="AT41" i="21"/>
  <c r="BA102" i="21"/>
  <c r="BA93" i="21"/>
  <c r="BA63" i="21"/>
  <c r="BA103" i="21"/>
  <c r="BA19" i="21"/>
  <c r="BA13" i="21"/>
  <c r="BA95" i="21"/>
  <c r="BA60" i="21"/>
  <c r="AT60" i="21"/>
  <c r="BA99" i="21"/>
  <c r="BA98" i="21"/>
  <c r="BA17" i="21"/>
  <c r="BA33" i="21"/>
  <c r="BA57" i="21"/>
  <c r="AT57" i="21"/>
  <c r="BA86" i="21"/>
  <c r="BA72" i="21"/>
  <c r="BA89" i="21"/>
  <c r="BA84" i="21"/>
  <c r="BA92" i="21"/>
  <c r="BA29" i="21"/>
  <c r="BA31" i="21"/>
  <c r="BA15" i="21"/>
  <c r="AT96" i="20"/>
  <c r="BA96" i="20"/>
  <c r="AT91" i="20"/>
  <c r="BA91" i="20"/>
  <c r="AT43" i="20"/>
  <c r="BA98" i="20"/>
  <c r="AT98" i="20"/>
  <c r="AT77" i="20"/>
  <c r="BA77" i="20"/>
  <c r="J102" i="20"/>
  <c r="E30" i="4" s="1"/>
  <c r="AT65" i="20"/>
  <c r="BA65" i="20"/>
  <c r="BA41" i="20"/>
  <c r="AT41" i="20"/>
  <c r="AT15" i="20"/>
  <c r="AT101" i="20"/>
  <c r="BA101" i="20"/>
  <c r="AT59" i="20"/>
  <c r="BA59" i="20"/>
  <c r="BA80" i="20"/>
  <c r="AT80" i="20"/>
  <c r="BA54" i="20"/>
  <c r="AT54" i="20"/>
  <c r="AT83" i="20"/>
  <c r="BA83" i="20"/>
  <c r="BA75" i="20"/>
  <c r="BA94" i="20"/>
  <c r="BA27" i="20"/>
  <c r="AT27" i="20"/>
  <c r="BA20" i="20"/>
  <c r="AT20" i="20"/>
  <c r="BA13" i="20"/>
  <c r="AT13" i="20"/>
  <c r="AT47" i="20"/>
  <c r="BA73" i="20"/>
  <c r="AT73" i="20"/>
  <c r="AT99" i="20"/>
  <c r="AT52" i="20"/>
  <c r="BA52" i="20"/>
  <c r="AT49" i="20"/>
  <c r="BA92" i="20"/>
  <c r="AT92" i="20"/>
  <c r="AT85" i="20"/>
  <c r="BA85" i="20"/>
  <c r="AT71" i="20"/>
  <c r="BA71" i="20"/>
  <c r="I38" i="20"/>
  <c r="AT76" i="16"/>
  <c r="BA76" i="16"/>
  <c r="AT52" i="16"/>
  <c r="BA52" i="16"/>
  <c r="AT70" i="16"/>
  <c r="BA70" i="16"/>
  <c r="BA61" i="16"/>
  <c r="BA33" i="16"/>
  <c r="AT33" i="16"/>
  <c r="AT46" i="16"/>
  <c r="BA46" i="16"/>
  <c r="BA73" i="16"/>
  <c r="AT64" i="16"/>
  <c r="BA64" i="16"/>
  <c r="AT40" i="16"/>
  <c r="BA40" i="16"/>
  <c r="BA67" i="16"/>
  <c r="BA27" i="16"/>
  <c r="BA54" i="16"/>
  <c r="AT58" i="16"/>
  <c r="BA58" i="16"/>
  <c r="BA57" i="15"/>
  <c r="BA50" i="15"/>
  <c r="AT72" i="15"/>
  <c r="BA78" i="15"/>
  <c r="AR26" i="15"/>
  <c r="BA33" i="15"/>
  <c r="AR65" i="15"/>
  <c r="H49" i="15"/>
  <c r="J92" i="15"/>
  <c r="E38" i="4" s="1"/>
  <c r="G38" i="4" s="1"/>
  <c r="H38" i="4" s="1"/>
  <c r="AR12" i="15"/>
  <c r="BA81" i="15"/>
  <c r="I80" i="15"/>
  <c r="BA36" i="15"/>
  <c r="BA17" i="15"/>
  <c r="AR80" i="15"/>
  <c r="BA29" i="15"/>
  <c r="BA13" i="15"/>
  <c r="BA70" i="15"/>
  <c r="BA38" i="15"/>
  <c r="BA19" i="15"/>
  <c r="BA27" i="15"/>
  <c r="BA88" i="15"/>
  <c r="BA72" i="15"/>
  <c r="BA60" i="15"/>
  <c r="BA45" i="15"/>
  <c r="BA84" i="15"/>
  <c r="BA66" i="15"/>
  <c r="BA75" i="15"/>
  <c r="BA15" i="15"/>
  <c r="BA87" i="15"/>
  <c r="BA68" i="15"/>
  <c r="BA52" i="15"/>
  <c r="BA24" i="15"/>
  <c r="BA41" i="15"/>
  <c r="BA21" i="15"/>
  <c r="BA82" i="15"/>
  <c r="BA54" i="15"/>
  <c r="BA47" i="15"/>
  <c r="BA43" i="15"/>
  <c r="BA90" i="15"/>
  <c r="BA88" i="14"/>
  <c r="AT88" i="14"/>
  <c r="AT68" i="14"/>
  <c r="BA68" i="14"/>
  <c r="AT17" i="14"/>
  <c r="BA70" i="14"/>
  <c r="AT70" i="14"/>
  <c r="AT60" i="14"/>
  <c r="BA60" i="14"/>
  <c r="BA29" i="14"/>
  <c r="AT29" i="14"/>
  <c r="AT15" i="14"/>
  <c r="BA15" i="14"/>
  <c r="BA27" i="14"/>
  <c r="AT87" i="14"/>
  <c r="BA87" i="14"/>
  <c r="BA82" i="14"/>
  <c r="AT82" i="14"/>
  <c r="AT36" i="14"/>
  <c r="BA36" i="14"/>
  <c r="BA72" i="14"/>
  <c r="AT38" i="14"/>
  <c r="BA78" i="14"/>
  <c r="AT50" i="14"/>
  <c r="BA50" i="14"/>
  <c r="AT19" i="14"/>
  <c r="BA19" i="14"/>
  <c r="BA63" i="14"/>
  <c r="AT63" i="14"/>
  <c r="BA90" i="13"/>
  <c r="AT90" i="13"/>
  <c r="AT68" i="13"/>
  <c r="BA68" i="13"/>
  <c r="AT41" i="13"/>
  <c r="BA41" i="13"/>
  <c r="AT47" i="13"/>
  <c r="BA34" i="13"/>
  <c r="AT39" i="13"/>
  <c r="BA27" i="13"/>
  <c r="BA72" i="13"/>
  <c r="AT72" i="13"/>
  <c r="AT52" i="13"/>
  <c r="BA52" i="13"/>
  <c r="BA86" i="13"/>
  <c r="BA54" i="13"/>
  <c r="AT70" i="13"/>
  <c r="AT43" i="13"/>
  <c r="AT20" i="13"/>
  <c r="BA20" i="13"/>
  <c r="BA29" i="13"/>
  <c r="AT29" i="13"/>
  <c r="AT56" i="13"/>
  <c r="BA56" i="13"/>
  <c r="BA15" i="13"/>
  <c r="BA84" i="13"/>
  <c r="AT84" i="13"/>
  <c r="AT65" i="13"/>
  <c r="BA65" i="13"/>
  <c r="BA80" i="13"/>
  <c r="AT36" i="13"/>
  <c r="AT89" i="13"/>
  <c r="BA89" i="13"/>
  <c r="BA25" i="13"/>
  <c r="AT25" i="13"/>
  <c r="J91" i="13"/>
  <c r="E35" i="4" s="1"/>
  <c r="G35" i="4" s="1"/>
  <c r="H35" i="4" s="1"/>
  <c r="AT31" i="13"/>
  <c r="BA59" i="13"/>
  <c r="AT59" i="13"/>
  <c r="BA45" i="13"/>
  <c r="AT45" i="13"/>
  <c r="AT62" i="13"/>
  <c r="BA62" i="13"/>
  <c r="BA74" i="13"/>
  <c r="AT77" i="13"/>
  <c r="BA70" i="12"/>
  <c r="AT70" i="12"/>
  <c r="BA50" i="12"/>
  <c r="AT50" i="12"/>
  <c r="BA84" i="12"/>
  <c r="AT84" i="12"/>
  <c r="BA72" i="12"/>
  <c r="BA52" i="12"/>
  <c r="AT82" i="12"/>
  <c r="BA82" i="12"/>
  <c r="BA63" i="12"/>
  <c r="AT63" i="12"/>
  <c r="BA78" i="12"/>
  <c r="AT78" i="12"/>
  <c r="AT81" i="12"/>
  <c r="BA81" i="12"/>
  <c r="AT60" i="12"/>
  <c r="BA60" i="12"/>
  <c r="AT87" i="12"/>
  <c r="BA87" i="12"/>
  <c r="I12" i="12"/>
  <c r="AT88" i="12"/>
  <c r="BA88" i="12"/>
  <c r="AT66" i="12"/>
  <c r="BA66" i="12"/>
  <c r="BA57" i="12"/>
  <c r="AT57" i="12"/>
  <c r="BA43" i="12"/>
  <c r="AT43" i="12"/>
  <c r="BA41" i="12"/>
  <c r="BA31" i="12"/>
  <c r="BA57" i="10"/>
  <c r="AT57" i="10"/>
  <c r="AT89" i="10"/>
  <c r="AR73" i="10"/>
  <c r="I73" i="10"/>
  <c r="AT65" i="10"/>
  <c r="BA98" i="10"/>
  <c r="AT15" i="10"/>
  <c r="BA55" i="10"/>
  <c r="AT55" i="10"/>
  <c r="AT74" i="10"/>
  <c r="BA76" i="10"/>
  <c r="AT50" i="10"/>
  <c r="AR39" i="10"/>
  <c r="H73" i="10"/>
  <c r="BA35" i="10"/>
  <c r="AT35" i="10"/>
  <c r="BA100" i="10"/>
  <c r="BA74" i="10"/>
  <c r="BA71" i="10"/>
  <c r="AT93" i="10"/>
  <c r="BA83" i="10"/>
  <c r="BA68" i="10"/>
  <c r="BA44" i="10"/>
  <c r="AT44" i="10"/>
  <c r="BA30" i="10"/>
  <c r="AT30" i="10"/>
  <c r="BA89" i="10"/>
  <c r="AT99" i="10"/>
  <c r="AR21" i="10"/>
  <c r="AT13" i="10"/>
  <c r="BA13" i="10"/>
  <c r="J104" i="10"/>
  <c r="E34" i="4" s="1"/>
  <c r="G34" i="4" s="1"/>
  <c r="H34" i="4" s="1"/>
  <c r="BA22" i="10"/>
  <c r="AT22" i="10"/>
  <c r="BA48" i="10"/>
  <c r="AT48" i="10"/>
  <c r="BA17" i="10"/>
  <c r="AT17" i="10"/>
  <c r="BA80" i="10"/>
  <c r="BA65" i="10"/>
  <c r="BA40" i="10"/>
  <c r="AT40" i="10"/>
  <c r="BA26" i="10"/>
  <c r="AT26" i="10"/>
  <c r="BA86" i="10"/>
  <c r="AT162" i="9"/>
  <c r="BA162" i="9"/>
  <c r="AT149" i="9"/>
  <c r="BA149" i="9"/>
  <c r="AT137" i="9"/>
  <c r="BA137" i="9"/>
  <c r="BA120" i="9"/>
  <c r="AT120" i="9"/>
  <c r="BA160" i="9"/>
  <c r="AT147" i="9"/>
  <c r="BA147" i="9"/>
  <c r="AT114" i="9"/>
  <c r="BA114" i="9"/>
  <c r="AT99" i="9"/>
  <c r="BA99" i="9"/>
  <c r="BA94" i="9"/>
  <c r="AT94" i="9"/>
  <c r="AT44" i="9"/>
  <c r="BA44" i="9"/>
  <c r="AT22" i="9"/>
  <c r="BA22" i="9"/>
  <c r="AT85" i="9"/>
  <c r="AT135" i="9"/>
  <c r="BA110" i="9"/>
  <c r="BA24" i="9"/>
  <c r="AT24" i="9"/>
  <c r="AT36" i="9"/>
  <c r="BA36" i="9"/>
  <c r="AT13" i="9"/>
  <c r="BA13" i="9"/>
  <c r="AT71" i="9"/>
  <c r="BA71" i="9"/>
  <c r="AT34" i="9"/>
  <c r="BA34" i="9"/>
  <c r="BA159" i="9"/>
  <c r="AT159" i="9"/>
  <c r="BA143" i="9"/>
  <c r="AT143" i="9"/>
  <c r="BA133" i="9"/>
  <c r="AT133" i="9"/>
  <c r="AT155" i="9"/>
  <c r="BA155" i="9"/>
  <c r="AT124" i="9"/>
  <c r="BA124" i="9"/>
  <c r="BA108" i="9"/>
  <c r="AT108" i="9"/>
  <c r="BA68" i="9"/>
  <c r="AT68" i="9"/>
  <c r="BA145" i="9"/>
  <c r="AT90" i="9"/>
  <c r="BA90" i="9"/>
  <c r="AT78" i="9"/>
  <c r="BA78" i="9"/>
  <c r="BA82" i="9"/>
  <c r="BA38" i="9"/>
  <c r="AT38" i="9"/>
  <c r="AT56" i="9"/>
  <c r="BA56" i="9"/>
  <c r="BA54" i="9"/>
  <c r="AT42" i="9"/>
  <c r="BA42" i="9"/>
  <c r="AT49" i="9"/>
  <c r="BA49" i="9"/>
  <c r="AT167" i="9"/>
  <c r="BA167" i="9"/>
  <c r="AT157" i="9"/>
  <c r="BA157" i="9"/>
  <c r="AT141" i="9"/>
  <c r="BA141" i="9"/>
  <c r="AT131" i="9"/>
  <c r="BA131" i="9"/>
  <c r="BA127" i="9"/>
  <c r="AT127" i="9"/>
  <c r="BA122" i="9"/>
  <c r="AT106" i="9"/>
  <c r="BA106" i="9"/>
  <c r="AT80" i="9"/>
  <c r="BA80" i="9"/>
  <c r="AT165" i="9"/>
  <c r="BA165" i="9"/>
  <c r="BA88" i="9"/>
  <c r="BA76" i="9"/>
  <c r="AT58" i="9"/>
  <c r="BA58" i="9"/>
  <c r="AT29" i="9"/>
  <c r="BA29" i="9"/>
  <c r="I105" i="9"/>
  <c r="BA52" i="9"/>
  <c r="AT52" i="9"/>
  <c r="AT67" i="9"/>
  <c r="BA40" i="9"/>
  <c r="BA26" i="9"/>
  <c r="AT20" i="9"/>
  <c r="BA20" i="9"/>
  <c r="BA47" i="9"/>
  <c r="BA163" i="9"/>
  <c r="AT163" i="9"/>
  <c r="BA151" i="9"/>
  <c r="AT151" i="9"/>
  <c r="BA138" i="9"/>
  <c r="AT138" i="9"/>
  <c r="AT116" i="9"/>
  <c r="BA116" i="9"/>
  <c r="AT73" i="9"/>
  <c r="BA73" i="9"/>
  <c r="AT130" i="9"/>
  <c r="BA130" i="9"/>
  <c r="BA101" i="9"/>
  <c r="AT101" i="9"/>
  <c r="AT97" i="9"/>
  <c r="BA97" i="9"/>
  <c r="AT161" i="9"/>
  <c r="BA161" i="9"/>
  <c r="AT112" i="9"/>
  <c r="BA112" i="9"/>
  <c r="H31" i="9"/>
  <c r="AT60" i="9"/>
  <c r="BA60" i="9"/>
  <c r="BA16" i="9"/>
  <c r="AT65" i="9"/>
  <c r="BA65" i="9"/>
  <c r="G39" i="4"/>
  <c r="H39" i="4" s="1"/>
  <c r="BA166" i="8"/>
  <c r="AT166" i="8"/>
  <c r="I151" i="8"/>
  <c r="BA96" i="8"/>
  <c r="AR53" i="8"/>
  <c r="AR18" i="8"/>
  <c r="BA172" i="8"/>
  <c r="AT172" i="8"/>
  <c r="BA156" i="8"/>
  <c r="AT156" i="8"/>
  <c r="I155" i="8"/>
  <c r="BA113" i="8"/>
  <c r="AT113" i="8"/>
  <c r="BA82" i="8"/>
  <c r="BA98" i="8"/>
  <c r="BA107" i="8"/>
  <c r="BA154" i="8"/>
  <c r="AT154" i="8"/>
  <c r="BA170" i="8"/>
  <c r="AT170" i="8"/>
  <c r="BA160" i="8"/>
  <c r="AT160" i="8"/>
  <c r="BA120" i="8"/>
  <c r="AT120" i="8"/>
  <c r="BA132" i="8"/>
  <c r="AT132" i="8"/>
  <c r="BA174" i="8"/>
  <c r="AT174" i="8"/>
  <c r="AT29" i="8"/>
  <c r="BA173" i="8"/>
  <c r="BA158" i="8"/>
  <c r="BA136" i="8"/>
  <c r="AT136" i="8"/>
  <c r="AT54" i="8"/>
  <c r="BA150" i="8"/>
  <c r="BA176" i="8"/>
  <c r="AT176" i="8"/>
  <c r="BA142" i="8"/>
  <c r="AT142" i="8"/>
  <c r="AR144" i="8"/>
  <c r="H89" i="8"/>
  <c r="BA152" i="8"/>
  <c r="BA73" i="8"/>
  <c r="AT73" i="8"/>
  <c r="AR33" i="8"/>
  <c r="BA148" i="8"/>
  <c r="AT148" i="8"/>
  <c r="AR119" i="8"/>
  <c r="BA70" i="8"/>
  <c r="AT70" i="8"/>
  <c r="BA111" i="8"/>
  <c r="AT111" i="8"/>
  <c r="AR66" i="8"/>
  <c r="AR48" i="8"/>
  <c r="BA145" i="8"/>
  <c r="AT145" i="8"/>
  <c r="BA146" i="8"/>
  <c r="AT146" i="8"/>
  <c r="AR151" i="8"/>
  <c r="BA153" i="8"/>
  <c r="AT78" i="8"/>
  <c r="BA78" i="8"/>
  <c r="BA69" i="8"/>
  <c r="AT69" i="8"/>
  <c r="BA139" i="8"/>
  <c r="AT139" i="8"/>
  <c r="BA115" i="8"/>
  <c r="AT115" i="8"/>
  <c r="H101" i="7"/>
  <c r="AT170" i="7"/>
  <c r="BA163" i="7"/>
  <c r="BA81" i="7"/>
  <c r="H32" i="7"/>
  <c r="I15" i="7"/>
  <c r="BA192" i="7"/>
  <c r="AT192" i="7"/>
  <c r="BA188" i="7"/>
  <c r="AT188" i="7"/>
  <c r="BA183" i="7"/>
  <c r="AT183" i="7"/>
  <c r="BA195" i="7"/>
  <c r="AT195" i="7"/>
  <c r="BA175" i="7"/>
  <c r="AT175" i="7"/>
  <c r="I140" i="7"/>
  <c r="I37" i="7"/>
  <c r="BA199" i="7"/>
  <c r="AT199" i="7"/>
  <c r="AT145" i="7"/>
  <c r="AT136" i="7"/>
  <c r="AS140" i="7"/>
  <c r="I88" i="7"/>
  <c r="BA165" i="7"/>
  <c r="AT13" i="7"/>
  <c r="H182" i="7"/>
  <c r="BA191" i="7"/>
  <c r="AT191" i="7"/>
  <c r="H140" i="7"/>
  <c r="I57" i="7"/>
  <c r="AS177" i="7"/>
  <c r="AS157" i="7"/>
  <c r="BA134" i="7"/>
  <c r="J203" i="7"/>
  <c r="F31" i="4" s="1"/>
  <c r="BA158" i="7"/>
  <c r="BA30" i="7"/>
  <c r="H83" i="7"/>
  <c r="BA194" i="7"/>
  <c r="AT194" i="7"/>
  <c r="BA190" i="7"/>
  <c r="AT190" i="7"/>
  <c r="BA186" i="7"/>
  <c r="AT186" i="7"/>
  <c r="BA178" i="7"/>
  <c r="AT178" i="7"/>
  <c r="BA187" i="7"/>
  <c r="AT187" i="7"/>
  <c r="BA172" i="7"/>
  <c r="AT172" i="7"/>
  <c r="BA151" i="7"/>
  <c r="AT60" i="7"/>
  <c r="BA60" i="7"/>
  <c r="AT33" i="7"/>
  <c r="BA33" i="7"/>
  <c r="H57" i="7"/>
  <c r="BA159" i="7"/>
  <c r="BA168" i="7"/>
  <c r="BA149" i="7"/>
  <c r="BA141" i="7"/>
  <c r="AT161" i="7"/>
  <c r="AT99" i="7"/>
  <c r="BA99" i="7"/>
  <c r="AT58" i="7"/>
  <c r="BA58" i="7"/>
  <c r="AT48" i="7"/>
  <c r="BA48" i="7"/>
  <c r="AT40" i="7"/>
  <c r="BA40" i="7"/>
  <c r="AT104" i="7"/>
  <c r="BA104" i="7"/>
  <c r="BA18" i="7"/>
  <c r="AT42" i="7"/>
  <c r="BA42" i="7"/>
  <c r="AT114" i="7"/>
  <c r="BA114" i="7"/>
  <c r="AT86" i="7"/>
  <c r="BA86" i="7"/>
  <c r="BA155" i="7"/>
  <c r="BA147" i="7"/>
  <c r="BA138" i="7"/>
  <c r="AS182" i="7"/>
  <c r="AT55" i="7"/>
  <c r="BA55" i="7"/>
  <c r="AT46" i="7"/>
  <c r="BA46" i="7"/>
  <c r="AT38" i="7"/>
  <c r="BA38" i="7"/>
  <c r="H74" i="7"/>
  <c r="H37" i="7"/>
  <c r="BA89" i="7"/>
  <c r="BA22" i="7"/>
  <c r="BA13" i="7"/>
  <c r="BA166" i="7"/>
  <c r="BA143" i="7"/>
  <c r="AT91" i="7"/>
  <c r="BA91" i="7"/>
  <c r="AT50" i="7"/>
  <c r="BA50" i="7"/>
  <c r="BA170" i="7"/>
  <c r="BA153" i="7"/>
  <c r="BA145" i="7"/>
  <c r="BA136" i="7"/>
  <c r="AT53" i="7"/>
  <c r="BA53" i="7"/>
  <c r="AT44" i="7"/>
  <c r="BA44" i="7"/>
  <c r="AT35" i="7"/>
  <c r="BA35" i="7"/>
  <c r="H52" i="7"/>
  <c r="AT112" i="7"/>
  <c r="BA112" i="7"/>
  <c r="BA201" i="7"/>
  <c r="BA16" i="7"/>
  <c r="BA20" i="7"/>
  <c r="AT203" i="6"/>
  <c r="BA203" i="6"/>
  <c r="AT180" i="6"/>
  <c r="BA180" i="6"/>
  <c r="BA171" i="6"/>
  <c r="BA190" i="6"/>
  <c r="AT190" i="6"/>
  <c r="BA182" i="6"/>
  <c r="AT182" i="6"/>
  <c r="BA199" i="6"/>
  <c r="AT199" i="6"/>
  <c r="AT176" i="6"/>
  <c r="BA176" i="6"/>
  <c r="BA200" i="6"/>
  <c r="BA148" i="6"/>
  <c r="AT148" i="6"/>
  <c r="BA132" i="6"/>
  <c r="AT173" i="6"/>
  <c r="BA173" i="6"/>
  <c r="AT101" i="6"/>
  <c r="BA101" i="6"/>
  <c r="AT79" i="6"/>
  <c r="BA79" i="6"/>
  <c r="AT146" i="6"/>
  <c r="BA146" i="6"/>
  <c r="AT197" i="6"/>
  <c r="BA197" i="6"/>
  <c r="I170" i="6"/>
  <c r="AT124" i="6"/>
  <c r="BA124" i="6"/>
  <c r="AT109" i="6"/>
  <c r="BA109" i="6"/>
  <c r="AT86" i="6"/>
  <c r="BA86" i="6"/>
  <c r="H54" i="6"/>
  <c r="AT194" i="6"/>
  <c r="BA194" i="6"/>
  <c r="AT81" i="6"/>
  <c r="BA81" i="6"/>
  <c r="AT161" i="6"/>
  <c r="BA161" i="6"/>
  <c r="AT116" i="6"/>
  <c r="BA116" i="6"/>
  <c r="AT114" i="6"/>
  <c r="BA114" i="6"/>
  <c r="AT210" i="6"/>
  <c r="BA210" i="6"/>
  <c r="AT198" i="6"/>
  <c r="BA198" i="6"/>
  <c r="AT189" i="6"/>
  <c r="BA189" i="6"/>
  <c r="AT181" i="6"/>
  <c r="BA181" i="6"/>
  <c r="BA206" i="6"/>
  <c r="AT193" i="6"/>
  <c r="BA193" i="6"/>
  <c r="AT184" i="6"/>
  <c r="BA184" i="6"/>
  <c r="AT166" i="6"/>
  <c r="BA166" i="6"/>
  <c r="BA158" i="6"/>
  <c r="AT151" i="6"/>
  <c r="BA151" i="6"/>
  <c r="BA153" i="6"/>
  <c r="BA96" i="6"/>
  <c r="AT92" i="6"/>
  <c r="BA92" i="6"/>
  <c r="AT185" i="6"/>
  <c r="BA185" i="6"/>
  <c r="AT130" i="6"/>
  <c r="BA130" i="6"/>
  <c r="AT122" i="6"/>
  <c r="BA122" i="6"/>
  <c r="BA204" i="6"/>
  <c r="AT204" i="6"/>
  <c r="BA195" i="6"/>
  <c r="AT195" i="6"/>
  <c r="BA186" i="6"/>
  <c r="AT186" i="6"/>
  <c r="AT188" i="6"/>
  <c r="BA188" i="6"/>
  <c r="AT208" i="6"/>
  <c r="BA208" i="6"/>
  <c r="BA142" i="6"/>
  <c r="AT142" i="6"/>
  <c r="AT168" i="6"/>
  <c r="AT94" i="6"/>
  <c r="BA94" i="6"/>
  <c r="AT202" i="6"/>
  <c r="BA202" i="6"/>
  <c r="I111" i="6"/>
  <c r="AT107" i="6"/>
  <c r="BA107" i="6"/>
  <c r="BA134" i="6"/>
  <c r="BA59" i="6"/>
  <c r="AT59" i="6"/>
  <c r="BA52" i="6"/>
  <c r="AT52" i="6"/>
  <c r="I34" i="6"/>
  <c r="G27" i="4"/>
  <c r="H27" i="4" s="1"/>
  <c r="G33" i="4" l="1"/>
  <c r="H33" i="4"/>
  <c r="F25" i="4"/>
  <c r="F32" i="4"/>
  <c r="G31" i="4"/>
  <c r="H31" i="4" s="1"/>
  <c r="G32" i="4" l="1"/>
  <c r="H32" i="4" s="1"/>
  <c r="F42" i="4"/>
  <c r="G30" i="4"/>
  <c r="H30" i="4" s="1"/>
  <c r="G29" i="4" l="1"/>
  <c r="H29" i="4" s="1"/>
  <c r="F45" i="4" l="1"/>
  <c r="G25" i="4"/>
  <c r="G28" i="4"/>
  <c r="H28" i="4" s="1"/>
  <c r="H25" i="4" l="1"/>
  <c r="G45" i="4" l="1"/>
  <c r="H45" i="4" s="1"/>
  <c r="G42" i="4" l="1"/>
  <c r="H42" i="4" s="1"/>
  <c r="G24" i="4"/>
  <c r="H2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Vladimír klička</author>
  </authors>
  <commentList>
    <comment ref="G25" authorId="0" shapeId="0" xr:uid="{A207D6BA-0D66-4A56-86C3-3EED928DBBE9}">
      <text>
        <r>
          <rPr>
            <b/>
            <sz val="8"/>
            <color indexed="81"/>
            <rFont val="Tahoma"/>
            <family val="2"/>
            <charset val="238"/>
          </rPr>
          <t>PC:</t>
        </r>
        <r>
          <rPr>
            <sz val="8"/>
            <color indexed="81"/>
            <rFont val="Tahoma"/>
            <family val="2"/>
            <charset val="238"/>
          </rPr>
          <t xml:space="preserve">
POLOŽKA NEZASTOUPENA</t>
        </r>
      </text>
    </comment>
    <comment ref="G27" authorId="0" shapeId="0" xr:uid="{1C8C6339-1A38-49F7-A6A7-983ED7749FFD}">
      <text>
        <r>
          <rPr>
            <b/>
            <sz val="8"/>
            <color indexed="81"/>
            <rFont val="Tahoma"/>
            <family val="2"/>
            <charset val="238"/>
          </rPr>
          <t>PC:</t>
        </r>
        <r>
          <rPr>
            <sz val="8"/>
            <color indexed="81"/>
            <rFont val="Tahoma"/>
            <family val="2"/>
            <charset val="238"/>
          </rPr>
          <t xml:space="preserve">
POLOŽKA NEZASTOUPENA</t>
        </r>
      </text>
    </comment>
    <comment ref="G29" authorId="0" shapeId="0" xr:uid="{5F76775A-E0C4-4A1C-BEB0-53F035673C32}">
      <text>
        <r>
          <rPr>
            <b/>
            <sz val="8"/>
            <color indexed="81"/>
            <rFont val="Tahoma"/>
            <family val="2"/>
            <charset val="238"/>
          </rPr>
          <t>PC:</t>
        </r>
        <r>
          <rPr>
            <sz val="8"/>
            <color indexed="81"/>
            <rFont val="Tahoma"/>
            <family val="2"/>
            <charset val="238"/>
          </rPr>
          <t xml:space="preserve">
POLOŽKA NEZASTOUPENA</t>
        </r>
      </text>
    </comment>
    <comment ref="G31" authorId="0" shapeId="0" xr:uid="{C4841FD4-66D0-493D-A101-6434ABEA5E2C}">
      <text>
        <r>
          <rPr>
            <b/>
            <sz val="8"/>
            <color indexed="81"/>
            <rFont val="Tahoma"/>
            <family val="2"/>
            <charset val="238"/>
          </rPr>
          <t>PC:</t>
        </r>
        <r>
          <rPr>
            <sz val="8"/>
            <color indexed="81"/>
            <rFont val="Tahoma"/>
            <family val="2"/>
            <charset val="238"/>
          </rPr>
          <t xml:space="preserve">
POLOŽKA NEZASTOUPENA</t>
        </r>
      </text>
    </comment>
    <comment ref="G33" authorId="0" shapeId="0" xr:uid="{E9B0D83B-06C8-465B-B6F9-100256143349}">
      <text>
        <r>
          <rPr>
            <b/>
            <sz val="8"/>
            <color indexed="81"/>
            <rFont val="Tahoma"/>
            <family val="2"/>
            <charset val="238"/>
          </rPr>
          <t>PC:</t>
        </r>
        <r>
          <rPr>
            <sz val="8"/>
            <color indexed="81"/>
            <rFont val="Tahoma"/>
            <family val="2"/>
            <charset val="238"/>
          </rPr>
          <t xml:space="preserve">
POLOŽKA NEZASTOUPENA</t>
        </r>
      </text>
    </comment>
    <comment ref="G35" authorId="0" shapeId="0" xr:uid="{E478D5D0-E93B-450D-9964-41255298B337}">
      <text>
        <r>
          <rPr>
            <b/>
            <sz val="8"/>
            <color indexed="81"/>
            <rFont val="Tahoma"/>
            <family val="2"/>
            <charset val="238"/>
          </rPr>
          <t>PC:</t>
        </r>
        <r>
          <rPr>
            <sz val="8"/>
            <color indexed="81"/>
            <rFont val="Tahoma"/>
            <family val="2"/>
            <charset val="238"/>
          </rPr>
          <t xml:space="preserve">
POLOŽKA NEZASTOUPENA</t>
        </r>
      </text>
    </comment>
    <comment ref="G42" authorId="1" shapeId="0" xr:uid="{50BFE02B-40EB-42E0-9BF3-3B41E20AA6C0}">
      <text>
        <r>
          <rPr>
            <b/>
            <sz val="8"/>
            <color indexed="81"/>
            <rFont val="Tahoma"/>
            <family val="2"/>
            <charset val="238"/>
          </rPr>
          <t>VLOŽ JEDNOTKOVOU CENU ZHOTOVITELE ZA POLOŽKU</t>
        </r>
        <r>
          <rPr>
            <sz val="8"/>
            <color indexed="81"/>
            <rFont val="Tahoma"/>
            <family val="2"/>
            <charset val="238"/>
          </rPr>
          <t xml:space="preserve">
</t>
        </r>
      </text>
    </comment>
    <comment ref="G44" authorId="0" shapeId="0" xr:uid="{2A044DF6-D72A-494C-8CD8-71A81CB858D2}">
      <text>
        <r>
          <rPr>
            <b/>
            <sz val="8"/>
            <color indexed="81"/>
            <rFont val="Tahoma"/>
            <family val="2"/>
            <charset val="238"/>
          </rPr>
          <t>PC:</t>
        </r>
        <r>
          <rPr>
            <sz val="8"/>
            <color indexed="81"/>
            <rFont val="Tahoma"/>
            <family val="2"/>
            <charset val="238"/>
          </rPr>
          <t xml:space="preserve">
POLOŽKA NEZASTOUPENA</t>
        </r>
      </text>
    </comment>
    <comment ref="G46" authorId="1" shapeId="0" xr:uid="{FFAB5507-BF51-4805-92A3-C2EE38C52F34}">
      <text>
        <r>
          <rPr>
            <b/>
            <sz val="8"/>
            <color indexed="81"/>
            <rFont val="Tahoma"/>
            <family val="2"/>
            <charset val="238"/>
          </rPr>
          <t>VLOŽ JEDNOTKOVOU CENU ZHOTOVITELE ZA POLOŽKU</t>
        </r>
        <r>
          <rPr>
            <sz val="8"/>
            <color indexed="81"/>
            <rFont val="Tahoma"/>
            <family val="2"/>
            <charset val="238"/>
          </rPr>
          <t xml:space="preserve">
</t>
        </r>
      </text>
    </comment>
    <comment ref="G48" authorId="1" shapeId="0" xr:uid="{3F512B75-8C0B-408A-A5B1-620282CCCB22}">
      <text>
        <r>
          <rPr>
            <b/>
            <sz val="8"/>
            <color indexed="81"/>
            <rFont val="Tahoma"/>
            <family val="2"/>
            <charset val="238"/>
          </rPr>
          <t>VLOŽ JEDNOTKOVOU CENU ZHOTOVITELE ZA POLOŽKU</t>
        </r>
        <r>
          <rPr>
            <sz val="8"/>
            <color indexed="81"/>
            <rFont val="Tahoma"/>
            <family val="2"/>
            <charset val="238"/>
          </rPr>
          <t xml:space="preserve">
</t>
        </r>
      </text>
    </comment>
    <comment ref="G50" authorId="1" shapeId="0" xr:uid="{DB1B5DB5-38B2-4405-80AD-E9209B7FEBAE}">
      <text>
        <r>
          <rPr>
            <b/>
            <sz val="8"/>
            <color indexed="81"/>
            <rFont val="Tahoma"/>
            <family val="2"/>
            <charset val="238"/>
          </rPr>
          <t>VLOŽ JEDNOTKOVOU CENU ZHOTOVITELE ZA POLOŽKU</t>
        </r>
        <r>
          <rPr>
            <sz val="8"/>
            <color indexed="81"/>
            <rFont val="Tahoma"/>
            <family val="2"/>
            <charset val="238"/>
          </rPr>
          <t xml:space="preserve">
</t>
        </r>
      </text>
    </comment>
    <comment ref="G52" authorId="1" shapeId="0" xr:uid="{A4F61CCD-54A7-4A4E-A333-C9239C1B85A7}">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C2D52A7F-7AC7-4D5B-92B8-7D112B40608D}">
      <text>
        <r>
          <rPr>
            <b/>
            <sz val="8"/>
            <color indexed="81"/>
            <rFont val="Tahoma"/>
            <family val="2"/>
            <charset val="238"/>
          </rPr>
          <t>PC:</t>
        </r>
        <r>
          <rPr>
            <sz val="8"/>
            <color indexed="81"/>
            <rFont val="Tahoma"/>
            <family val="2"/>
            <charset val="238"/>
          </rPr>
          <t xml:space="preserve">
VLOŽ JEDNOTKOVOU CENU ZHOTOVITELE ZA POLOŽKU</t>
        </r>
      </text>
    </comment>
    <comment ref="G56" authorId="0" shapeId="0" xr:uid="{52B2E60E-F0A6-4D89-BF91-10A6066F6DC5}">
      <text>
        <r>
          <rPr>
            <b/>
            <sz val="8"/>
            <color indexed="81"/>
            <rFont val="Tahoma"/>
            <family val="2"/>
            <charset val="238"/>
          </rPr>
          <t>PC:</t>
        </r>
        <r>
          <rPr>
            <sz val="8"/>
            <color indexed="81"/>
            <rFont val="Tahoma"/>
            <family val="2"/>
            <charset val="238"/>
          </rPr>
          <t xml:space="preserve">
POLOŽKA NEZASTOUPENA</t>
        </r>
      </text>
    </comment>
    <comment ref="G58" authorId="0" shapeId="0" xr:uid="{B86DFC4F-1976-4C63-971D-0EF0C64B20CD}">
      <text>
        <r>
          <rPr>
            <b/>
            <sz val="8"/>
            <color indexed="81"/>
            <rFont val="Tahoma"/>
            <family val="2"/>
            <charset val="238"/>
          </rPr>
          <t>PC:</t>
        </r>
        <r>
          <rPr>
            <sz val="8"/>
            <color indexed="81"/>
            <rFont val="Tahoma"/>
            <family val="2"/>
            <charset val="238"/>
          </rPr>
          <t xml:space="preserve">
VLOŽ JEDNOTKOVOU CENU ZHOTOVITELE ZA POLOŽKU</t>
        </r>
      </text>
    </comment>
    <comment ref="G60" authorId="0" shapeId="0" xr:uid="{E9C244A4-042D-497B-BEED-C431834FD0DC}">
      <text>
        <r>
          <rPr>
            <b/>
            <sz val="8"/>
            <color indexed="81"/>
            <rFont val="Tahoma"/>
            <family val="2"/>
            <charset val="238"/>
          </rPr>
          <t>PC:</t>
        </r>
        <r>
          <rPr>
            <sz val="8"/>
            <color indexed="81"/>
            <rFont val="Tahoma"/>
            <family val="2"/>
            <charset val="238"/>
          </rPr>
          <t xml:space="preserve">
POLOŽKA NEZASTOUPENA</t>
        </r>
      </text>
    </comment>
    <comment ref="G62" authorId="0" shapeId="0" xr:uid="{01DA1113-9D5B-4EDE-AACE-77324485E096}">
      <text>
        <r>
          <rPr>
            <b/>
            <sz val="8"/>
            <color indexed="81"/>
            <rFont val="Tahoma"/>
            <family val="2"/>
            <charset val="238"/>
          </rPr>
          <t>PC:</t>
        </r>
        <r>
          <rPr>
            <sz val="8"/>
            <color indexed="81"/>
            <rFont val="Tahoma"/>
            <family val="2"/>
            <charset val="238"/>
          </rPr>
          <t xml:space="preserve">
VLOŽ JEDNOTKOVOU CENU ZHOTOVITELE ZA POLOŽKU</t>
        </r>
      </text>
    </comment>
    <comment ref="G64" authorId="0" shapeId="0" xr:uid="{EFD6E518-A35A-4983-9EF2-9F896E11EAA2}">
      <text>
        <r>
          <rPr>
            <b/>
            <sz val="8"/>
            <color indexed="81"/>
            <rFont val="Tahoma"/>
            <family val="2"/>
            <charset val="238"/>
          </rPr>
          <t>PC:</t>
        </r>
        <r>
          <rPr>
            <sz val="8"/>
            <color indexed="81"/>
            <rFont val="Tahoma"/>
            <family val="2"/>
            <charset val="238"/>
          </rPr>
          <t xml:space="preserve">
VLOŽ JEDNOTKOVOU CENU ZHOTOVITELE ZA POLOŽKU</t>
        </r>
      </text>
    </comment>
    <comment ref="G66" authorId="0" shapeId="0" xr:uid="{9E0C3909-716C-44B1-812F-833B76D7877C}">
      <text>
        <r>
          <rPr>
            <b/>
            <sz val="8"/>
            <color indexed="81"/>
            <rFont val="Tahoma"/>
            <family val="2"/>
            <charset val="238"/>
          </rPr>
          <t>PC:</t>
        </r>
        <r>
          <rPr>
            <sz val="8"/>
            <color indexed="81"/>
            <rFont val="Tahoma"/>
            <family val="2"/>
            <charset val="238"/>
          </rPr>
          <t xml:space="preserve">
VLOŽ JEDNOTKOVOU CENU ZHOTOVITELE ZA POLOŽKU</t>
        </r>
      </text>
    </comment>
    <comment ref="G73" authorId="0" shapeId="0" xr:uid="{9AB7F802-5B95-4454-9D69-049EC3EA23E3}">
      <text>
        <r>
          <rPr>
            <b/>
            <sz val="8"/>
            <color indexed="81"/>
            <rFont val="Tahoma"/>
            <family val="2"/>
            <charset val="238"/>
          </rPr>
          <t>PC:</t>
        </r>
        <r>
          <rPr>
            <sz val="8"/>
            <color indexed="81"/>
            <rFont val="Tahoma"/>
            <family val="2"/>
            <charset val="238"/>
          </rPr>
          <t xml:space="preserve">
VLOŽ JEDNOTKOVOU CENU ZHOTOVITELE ZA POLOŽKU</t>
        </r>
      </text>
    </comment>
    <comment ref="G75" authorId="0" shapeId="0" xr:uid="{EFAF4F16-55A6-45E6-B450-62FFB1B1FF2D}">
      <text>
        <r>
          <rPr>
            <b/>
            <sz val="8"/>
            <color indexed="81"/>
            <rFont val="Tahoma"/>
            <family val="2"/>
            <charset val="238"/>
          </rPr>
          <t>PC:</t>
        </r>
        <r>
          <rPr>
            <sz val="8"/>
            <color indexed="81"/>
            <rFont val="Tahoma"/>
            <family val="2"/>
            <charset val="238"/>
          </rPr>
          <t xml:space="preserve">
VLOŽ JEDNOTKOVOU CENU ZHOTOVITELE ZA POLOŽKU</t>
        </r>
      </text>
    </comment>
    <comment ref="G77" authorId="0" shapeId="0" xr:uid="{7801588C-9FFA-4424-8A59-89FAA9C4CF96}">
      <text>
        <r>
          <rPr>
            <b/>
            <sz val="8"/>
            <color indexed="81"/>
            <rFont val="Tahoma"/>
            <family val="2"/>
            <charset val="238"/>
          </rPr>
          <t>PC:</t>
        </r>
        <r>
          <rPr>
            <sz val="8"/>
            <color indexed="81"/>
            <rFont val="Tahoma"/>
            <family val="2"/>
            <charset val="238"/>
          </rPr>
          <t xml:space="preserve">
VLOŽ JEDNOTKOVOU CENU ZHOTOVITELE ZA POLOŽKU</t>
        </r>
      </text>
    </comment>
    <comment ref="G79" authorId="0" shapeId="0" xr:uid="{17A5E20E-E1EA-423C-A8FD-10595919AE3C}">
      <text>
        <r>
          <rPr>
            <b/>
            <sz val="8"/>
            <color indexed="81"/>
            <rFont val="Tahoma"/>
            <family val="2"/>
            <charset val="238"/>
          </rPr>
          <t>PC:</t>
        </r>
        <r>
          <rPr>
            <sz val="8"/>
            <color indexed="81"/>
            <rFont val="Tahoma"/>
            <family val="2"/>
            <charset val="238"/>
          </rPr>
          <t xml:space="preserve">
VLOŽ JEDNOTKOVOU CENU ZHOTOVITELE ZA POLOŽKU</t>
        </r>
      </text>
    </comment>
    <comment ref="G81" authorId="0" shapeId="0" xr:uid="{612526ED-E97D-4C0E-80A6-64A528D97EEE}">
      <text>
        <r>
          <rPr>
            <b/>
            <sz val="8"/>
            <color indexed="81"/>
            <rFont val="Tahoma"/>
            <family val="2"/>
            <charset val="238"/>
          </rPr>
          <t>PC:</t>
        </r>
        <r>
          <rPr>
            <sz val="8"/>
            <color indexed="81"/>
            <rFont val="Tahoma"/>
            <family val="2"/>
            <charset val="238"/>
          </rPr>
          <t xml:space="preserve">
VLOŽ JEDNOTKOVOU CENU ZHOTOVITELE ZA POLOŽKU</t>
        </r>
      </text>
    </comment>
    <comment ref="G83" authorId="0" shapeId="0" xr:uid="{FEABC282-C36F-4AEB-9FD2-07FD91156DB9}">
      <text>
        <r>
          <rPr>
            <b/>
            <sz val="8"/>
            <color indexed="81"/>
            <rFont val="Tahoma"/>
            <family val="2"/>
            <charset val="238"/>
          </rPr>
          <t>PC:</t>
        </r>
        <r>
          <rPr>
            <sz val="8"/>
            <color indexed="81"/>
            <rFont val="Tahoma"/>
            <family val="2"/>
            <charset val="238"/>
          </rPr>
          <t xml:space="preserve">
POLOŽKA NEZASTOUPENA</t>
        </r>
      </text>
    </comment>
    <comment ref="G85" authorId="0" shapeId="0" xr:uid="{9E3B2DD4-2802-4A43-8453-4FD44359EEB6}">
      <text>
        <r>
          <rPr>
            <b/>
            <sz val="8"/>
            <color indexed="81"/>
            <rFont val="Tahoma"/>
            <family val="2"/>
            <charset val="238"/>
          </rPr>
          <t>PC:</t>
        </r>
        <r>
          <rPr>
            <sz val="8"/>
            <color indexed="81"/>
            <rFont val="Tahoma"/>
            <family val="2"/>
            <charset val="238"/>
          </rPr>
          <t xml:space="preserve">
VLOŽ JEDNOTKOVOU CENU ZHOTOVITELE ZA POLOŽKU</t>
        </r>
      </text>
    </comment>
    <comment ref="G87" authorId="0" shapeId="0" xr:uid="{75BA1EA8-92F3-482F-B2E6-085F1A4AD207}">
      <text>
        <r>
          <rPr>
            <b/>
            <sz val="8"/>
            <color indexed="81"/>
            <rFont val="Tahoma"/>
            <family val="2"/>
            <charset val="238"/>
          </rPr>
          <t>PC:</t>
        </r>
        <r>
          <rPr>
            <sz val="8"/>
            <color indexed="81"/>
            <rFont val="Tahoma"/>
            <family val="2"/>
            <charset val="238"/>
          </rPr>
          <t xml:space="preserve">
VLOŽ JEDNOTKOVOU CENU ZHOTOVITELE ZA POLOŽKU</t>
        </r>
      </text>
    </comment>
    <comment ref="G89" authorId="0" shapeId="0" xr:uid="{4D08ACA1-B93F-4326-98C7-63650D1EAF07}">
      <text>
        <r>
          <rPr>
            <b/>
            <sz val="8"/>
            <color indexed="81"/>
            <rFont val="Tahoma"/>
            <family val="2"/>
            <charset val="238"/>
          </rPr>
          <t>PC:</t>
        </r>
        <r>
          <rPr>
            <sz val="8"/>
            <color indexed="81"/>
            <rFont val="Tahoma"/>
            <family val="2"/>
            <charset val="238"/>
          </rPr>
          <t xml:space="preserve">
VLOŽ JEDNOTKOVOU CENU ZHOTOVITELE ZA POLOŽKU</t>
        </r>
      </text>
    </comment>
    <comment ref="G91" authorId="0" shapeId="0" xr:uid="{8E2C99B1-C920-42A2-900F-66739512A8E9}">
      <text>
        <r>
          <rPr>
            <b/>
            <sz val="8"/>
            <color indexed="81"/>
            <rFont val="Tahoma"/>
            <family val="2"/>
            <charset val="238"/>
          </rPr>
          <t>PC:</t>
        </r>
        <r>
          <rPr>
            <sz val="8"/>
            <color indexed="81"/>
            <rFont val="Tahoma"/>
            <family val="2"/>
            <charset val="238"/>
          </rPr>
          <t xml:space="preserve">
POLOŽKA NEZASTOUPENA</t>
        </r>
      </text>
    </comment>
    <comment ref="G93" authorId="0" shapeId="0" xr:uid="{AC78AF6E-1C7C-4757-8666-D291AEA69F10}">
      <text>
        <r>
          <rPr>
            <b/>
            <sz val="8"/>
            <color indexed="81"/>
            <rFont val="Tahoma"/>
            <family val="2"/>
            <charset val="238"/>
          </rPr>
          <t>PC:</t>
        </r>
        <r>
          <rPr>
            <sz val="8"/>
            <color indexed="81"/>
            <rFont val="Tahoma"/>
            <family val="2"/>
            <charset val="238"/>
          </rPr>
          <t xml:space="preserve">
VLOŽ JEDNOTKOVOU CENU ZHOTOVITELE ZA POLOŽKU</t>
        </r>
      </text>
    </comment>
    <comment ref="G95" authorId="0" shapeId="0" xr:uid="{ACC52C56-AF48-4E19-8AEA-6C42E652F7BB}">
      <text>
        <r>
          <rPr>
            <b/>
            <sz val="8"/>
            <color indexed="81"/>
            <rFont val="Tahoma"/>
            <family val="2"/>
            <charset val="238"/>
          </rPr>
          <t>PC:</t>
        </r>
        <r>
          <rPr>
            <sz val="8"/>
            <color indexed="81"/>
            <rFont val="Tahoma"/>
            <family val="2"/>
            <charset val="238"/>
          </rPr>
          <t xml:space="preserve">
POLOŽKA NEZASTOUPENA</t>
        </r>
      </text>
    </comment>
    <comment ref="G102" authorId="0" shapeId="0" xr:uid="{EF9561CD-FC25-46B1-8681-9A4EE35AD077}">
      <text>
        <r>
          <rPr>
            <b/>
            <sz val="8"/>
            <color indexed="81"/>
            <rFont val="Tahoma"/>
            <family val="2"/>
            <charset val="238"/>
          </rPr>
          <t>PC:</t>
        </r>
        <r>
          <rPr>
            <sz val="8"/>
            <color indexed="81"/>
            <rFont val="Tahoma"/>
            <family val="2"/>
            <charset val="238"/>
          </rPr>
          <t xml:space="preserve">
VLOŽ JEDNOTKOVOU CENU ZHOTOVITELE ZA POLOŽKU</t>
        </r>
      </text>
    </comment>
    <comment ref="G104" authorId="0" shapeId="0" xr:uid="{8FFB101B-A8B8-4651-9B8E-42F9C91D1D5C}">
      <text>
        <r>
          <rPr>
            <b/>
            <sz val="8"/>
            <color indexed="81"/>
            <rFont val="Tahoma"/>
            <family val="2"/>
            <charset val="238"/>
          </rPr>
          <t>PC:</t>
        </r>
        <r>
          <rPr>
            <sz val="8"/>
            <color indexed="81"/>
            <rFont val="Tahoma"/>
            <family val="2"/>
            <charset val="238"/>
          </rPr>
          <t xml:space="preserve">
VLOŽ JEDNOTKOVOU CENU ZHOTOVITELE ZA POLOŽKU</t>
        </r>
      </text>
    </comment>
    <comment ref="G106" authorId="0" shapeId="0" xr:uid="{0E724C5B-0B07-429C-BB7B-88DAA8C50BF0}">
      <text>
        <r>
          <rPr>
            <b/>
            <sz val="8"/>
            <color indexed="81"/>
            <rFont val="Tahoma"/>
            <family val="2"/>
            <charset val="238"/>
          </rPr>
          <t>PC:</t>
        </r>
        <r>
          <rPr>
            <sz val="8"/>
            <color indexed="81"/>
            <rFont val="Tahoma"/>
            <family val="2"/>
            <charset val="238"/>
          </rPr>
          <t xml:space="preserve">
VLOŽ JEDNOTKOVOU CENU ZHOTOVITELE ZA POLOŽKU</t>
        </r>
      </text>
    </comment>
    <comment ref="G108" authorId="0" shapeId="0" xr:uid="{6197B1E8-886C-4471-B8ED-79C4719F04FC}">
      <text>
        <r>
          <rPr>
            <b/>
            <sz val="8"/>
            <color indexed="81"/>
            <rFont val="Tahoma"/>
            <family val="2"/>
            <charset val="238"/>
          </rPr>
          <t>PC:</t>
        </r>
        <r>
          <rPr>
            <sz val="8"/>
            <color indexed="81"/>
            <rFont val="Tahoma"/>
            <family val="2"/>
            <charset val="238"/>
          </rPr>
          <t xml:space="preserve">
POLOŽKA NEZASTOUPENA</t>
        </r>
      </text>
    </comment>
    <comment ref="G110" authorId="0" shapeId="0" xr:uid="{E2687033-EE0F-44D2-8C5A-DFB63BAB3E77}">
      <text>
        <r>
          <rPr>
            <b/>
            <sz val="8"/>
            <color indexed="81"/>
            <rFont val="Tahoma"/>
            <family val="2"/>
            <charset val="238"/>
          </rPr>
          <t>PC:</t>
        </r>
        <r>
          <rPr>
            <sz val="8"/>
            <color indexed="81"/>
            <rFont val="Tahoma"/>
            <family val="2"/>
            <charset val="238"/>
          </rPr>
          <t xml:space="preserve">
POLOŽKA NEZASTOUPENA</t>
        </r>
      </text>
    </comment>
    <comment ref="G112" authorId="0" shapeId="0" xr:uid="{D0383EEC-6ECF-42D9-A747-B900AE912390}">
      <text>
        <r>
          <rPr>
            <b/>
            <sz val="8"/>
            <color indexed="81"/>
            <rFont val="Tahoma"/>
            <family val="2"/>
            <charset val="238"/>
          </rPr>
          <t>PC:</t>
        </r>
        <r>
          <rPr>
            <sz val="8"/>
            <color indexed="81"/>
            <rFont val="Tahoma"/>
            <family val="2"/>
            <charset val="238"/>
          </rPr>
          <t xml:space="preserve">
POLOŽKA NEZASTOUPENA</t>
        </r>
      </text>
    </comment>
    <comment ref="G114" authorId="0" shapeId="0" xr:uid="{5F07F2DA-0C15-4A9C-83C8-E9C7631EA1AC}">
      <text>
        <r>
          <rPr>
            <b/>
            <sz val="8"/>
            <color indexed="81"/>
            <rFont val="Tahoma"/>
            <family val="2"/>
            <charset val="238"/>
          </rPr>
          <t>PC:</t>
        </r>
        <r>
          <rPr>
            <sz val="8"/>
            <color indexed="81"/>
            <rFont val="Tahoma"/>
            <family val="2"/>
            <charset val="238"/>
          </rPr>
          <t xml:space="preserve">
VLOŽ JEDNOTKOVOU CENU ZHOTOVITELE ZA POLOŽKU</t>
        </r>
      </text>
    </comment>
    <comment ref="G116" authorId="0" shapeId="0" xr:uid="{614235E0-E64E-448C-8E69-2885E8DF095B}">
      <text>
        <r>
          <rPr>
            <b/>
            <sz val="8"/>
            <color indexed="81"/>
            <rFont val="Tahoma"/>
            <family val="2"/>
            <charset val="238"/>
          </rPr>
          <t>PC:</t>
        </r>
        <r>
          <rPr>
            <sz val="8"/>
            <color indexed="81"/>
            <rFont val="Tahoma"/>
            <family val="2"/>
            <charset val="238"/>
          </rPr>
          <t xml:space="preserve">
VLOŽ JEDNOTKOVOU CENU ZHOTOVITELE ZA POLOŽKU</t>
        </r>
      </text>
    </comment>
    <comment ref="G118" authorId="0" shapeId="0" xr:uid="{0E19BE95-A77A-44F7-BE47-C86C2033C713}">
      <text>
        <r>
          <rPr>
            <b/>
            <sz val="8"/>
            <color indexed="81"/>
            <rFont val="Tahoma"/>
            <family val="2"/>
            <charset val="238"/>
          </rPr>
          <t>PC:</t>
        </r>
        <r>
          <rPr>
            <sz val="8"/>
            <color indexed="81"/>
            <rFont val="Tahoma"/>
            <family val="2"/>
            <charset val="238"/>
          </rPr>
          <t xml:space="preserve">
POLOŽKA NEZASTOUPENA</t>
        </r>
      </text>
    </comment>
    <comment ref="G120" authorId="0" shapeId="0" xr:uid="{2484396F-69A7-4AAF-8781-08654B923541}">
      <text>
        <r>
          <rPr>
            <b/>
            <sz val="8"/>
            <color indexed="81"/>
            <rFont val="Tahoma"/>
            <family val="2"/>
            <charset val="238"/>
          </rPr>
          <t>PC:</t>
        </r>
        <r>
          <rPr>
            <sz val="8"/>
            <color indexed="81"/>
            <rFont val="Tahoma"/>
            <family val="2"/>
            <charset val="238"/>
          </rPr>
          <t xml:space="preserve">
VLOŽ JEDNOTKOVOU CENU ZHOTOVITELE ZA POLOŽKU</t>
        </r>
      </text>
    </comment>
    <comment ref="G122" authorId="0" shapeId="0" xr:uid="{9C1B4DED-17ED-49C9-B10D-45E406D1C54C}">
      <text>
        <r>
          <rPr>
            <b/>
            <sz val="8"/>
            <color indexed="81"/>
            <rFont val="Tahoma"/>
            <family val="2"/>
            <charset val="238"/>
          </rPr>
          <t>PC:</t>
        </r>
        <r>
          <rPr>
            <sz val="8"/>
            <color indexed="81"/>
            <rFont val="Tahoma"/>
            <family val="2"/>
            <charset val="238"/>
          </rPr>
          <t xml:space="preserve">
POLOŽKA NEZASTOUPENA</t>
        </r>
      </text>
    </comment>
    <comment ref="G124" authorId="0" shapeId="0" xr:uid="{AE2E1DC0-10E1-4403-9146-F81D261D52C9}">
      <text>
        <r>
          <rPr>
            <b/>
            <sz val="8"/>
            <color indexed="81"/>
            <rFont val="Tahoma"/>
            <family val="2"/>
            <charset val="238"/>
          </rPr>
          <t>PC:</t>
        </r>
        <r>
          <rPr>
            <sz val="8"/>
            <color indexed="81"/>
            <rFont val="Tahoma"/>
            <family val="2"/>
            <charset val="238"/>
          </rPr>
          <t xml:space="preserve">
VLOŽ JEDNOTKOVOU CENU ZHOTOVITELE ZA POLOŽKU</t>
        </r>
      </text>
    </comment>
    <comment ref="G126" authorId="0" shapeId="0" xr:uid="{4D5F068A-BE22-4F0C-9E64-2E9B7B5BF3BA}">
      <text>
        <r>
          <rPr>
            <b/>
            <sz val="8"/>
            <color indexed="81"/>
            <rFont val="Tahoma"/>
            <family val="2"/>
            <charset val="238"/>
          </rPr>
          <t>PC:</t>
        </r>
        <r>
          <rPr>
            <sz val="8"/>
            <color indexed="81"/>
            <rFont val="Tahoma"/>
            <family val="2"/>
            <charset val="238"/>
          </rPr>
          <t xml:space="preserve">
POLOŽKA NEZASTOUPENA</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5D652517-B400-44C4-B2F8-72C070095789}">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B7EF3A16-7F74-4589-B253-3F3D86FC4783}">
      <text>
        <r>
          <rPr>
            <b/>
            <sz val="8"/>
            <color indexed="81"/>
            <rFont val="Tahoma"/>
            <family val="2"/>
            <charset val="238"/>
          </rPr>
          <t>VLOŽ JEDNOTKOVOU CENU ZHOTOVITELE ZA POLOŽKU</t>
        </r>
        <r>
          <rPr>
            <sz val="8"/>
            <color indexed="81"/>
            <rFont val="Tahoma"/>
            <family val="2"/>
            <charset val="238"/>
          </rPr>
          <t xml:space="preserve">
</t>
        </r>
      </text>
    </comment>
    <comment ref="G17" authorId="0" shapeId="0" xr:uid="{519C9A9D-A02B-45E0-8B57-7876DEC650EE}">
      <text>
        <r>
          <rPr>
            <b/>
            <sz val="8"/>
            <color indexed="81"/>
            <rFont val="Tahoma"/>
            <family val="2"/>
            <charset val="238"/>
          </rPr>
          <t>VLOŽ JEDNOTKOVOU CENU ZHOTOVITELE ZA POLOŽKU</t>
        </r>
        <r>
          <rPr>
            <sz val="8"/>
            <color indexed="81"/>
            <rFont val="Tahoma"/>
            <family val="2"/>
            <charset val="238"/>
          </rPr>
          <t xml:space="preserve">
</t>
        </r>
      </text>
    </comment>
    <comment ref="G20" authorId="0" shapeId="0" xr:uid="{9AE45FA2-19E7-4AC1-A68C-2A8FBE3877A9}">
      <text>
        <r>
          <rPr>
            <b/>
            <sz val="8"/>
            <color indexed="81"/>
            <rFont val="Tahoma"/>
            <family val="2"/>
            <charset val="238"/>
          </rPr>
          <t>VLOŽ JEDNOTKOVOU CENU ZHOTOVITELE ZA POLOŽKU</t>
        </r>
        <r>
          <rPr>
            <sz val="8"/>
            <color indexed="81"/>
            <rFont val="Tahoma"/>
            <family val="2"/>
            <charset val="238"/>
          </rPr>
          <t xml:space="preserve">
</t>
        </r>
      </text>
    </comment>
    <comment ref="G22" authorId="0" shapeId="0" xr:uid="{A6FEDAE6-2546-4F85-AFAD-F59CFC86A721}">
      <text>
        <r>
          <rPr>
            <b/>
            <sz val="8"/>
            <color indexed="81"/>
            <rFont val="Tahoma"/>
            <family val="2"/>
            <charset val="238"/>
          </rPr>
          <t>VLOŽ JEDNOTKOVOU CENU ZHOTOVITELE ZA POLOŽKU</t>
        </r>
        <r>
          <rPr>
            <sz val="8"/>
            <color indexed="81"/>
            <rFont val="Tahoma"/>
            <family val="2"/>
            <charset val="238"/>
          </rPr>
          <t xml:space="preserve">
</t>
        </r>
      </text>
    </comment>
    <comment ref="G25" authorId="0" shapeId="0" xr:uid="{C7C32EAC-D431-42FF-B5F3-CDEA27735A58}">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422D2EC4-904B-4721-9F2E-C71D294BF8EE}">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9612168F-1048-4FA8-A1BC-4D84F1E4B194}">
      <text>
        <r>
          <rPr>
            <b/>
            <sz val="8"/>
            <color indexed="81"/>
            <rFont val="Tahoma"/>
            <family val="2"/>
            <charset val="238"/>
          </rPr>
          <t>VLOŽ JEDNOTKOVOU CENU ZHOTOVITELE ZA POLOŽKU</t>
        </r>
        <r>
          <rPr>
            <sz val="8"/>
            <color indexed="81"/>
            <rFont val="Tahoma"/>
            <family val="2"/>
            <charset val="238"/>
          </rPr>
          <t xml:space="preserve">
</t>
        </r>
      </text>
    </comment>
    <comment ref="G31" authorId="0" shapeId="0" xr:uid="{ED357EB8-4474-40F6-8D22-3402D2B4C295}">
      <text>
        <r>
          <rPr>
            <b/>
            <sz val="8"/>
            <color indexed="81"/>
            <rFont val="Tahoma"/>
            <family val="2"/>
            <charset val="238"/>
          </rPr>
          <t>VLOŽ JEDNOTKOVOU CENU ZHOTOVITELE ZA POLOŽKU</t>
        </r>
        <r>
          <rPr>
            <sz val="8"/>
            <color indexed="81"/>
            <rFont val="Tahoma"/>
            <family val="2"/>
            <charset val="238"/>
          </rPr>
          <t xml:space="preserve">
</t>
        </r>
      </text>
    </comment>
    <comment ref="G34" authorId="0" shapeId="0" xr:uid="{64FE8045-47F0-4892-B64B-224D4563986C}">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AE5D7CB8-771C-4E75-973D-D14492322F23}">
      <text>
        <r>
          <rPr>
            <b/>
            <sz val="8"/>
            <color indexed="81"/>
            <rFont val="Tahoma"/>
            <family val="2"/>
            <charset val="238"/>
          </rPr>
          <t>VLOŽ JEDNOTKOVOU CENU ZHOTOVITELE ZA POLOŽKU</t>
        </r>
        <r>
          <rPr>
            <sz val="8"/>
            <color indexed="81"/>
            <rFont val="Tahoma"/>
            <family val="2"/>
            <charset val="238"/>
          </rPr>
          <t xml:space="preserve">
</t>
        </r>
      </text>
    </comment>
    <comment ref="G39" authorId="0" shapeId="0" xr:uid="{6F2088AA-9F70-4A86-85DB-E9160C19B9C2}">
      <text>
        <r>
          <rPr>
            <b/>
            <sz val="8"/>
            <color indexed="81"/>
            <rFont val="Tahoma"/>
            <family val="2"/>
            <charset val="238"/>
          </rPr>
          <t>VLOŽ JEDNOTKOVOU CENU ZHOTOVITELE ZA POLOŽKU</t>
        </r>
        <r>
          <rPr>
            <sz val="8"/>
            <color indexed="81"/>
            <rFont val="Tahoma"/>
            <family val="2"/>
            <charset val="238"/>
          </rPr>
          <t xml:space="preserve">
</t>
        </r>
      </text>
    </comment>
    <comment ref="G41" authorId="0" shapeId="0" xr:uid="{4BC83A87-007C-4E10-A632-34A2E6F99060}">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1443E1D8-CA19-467F-A7FD-FDDFB08D7341}">
      <text>
        <r>
          <rPr>
            <b/>
            <sz val="8"/>
            <color indexed="81"/>
            <rFont val="Tahoma"/>
            <family val="2"/>
            <charset val="238"/>
          </rPr>
          <t>VLOŽ JEDNOTKOVOU CENU ZHOTOVITELE ZA POLOŽKU</t>
        </r>
        <r>
          <rPr>
            <sz val="8"/>
            <color indexed="81"/>
            <rFont val="Tahoma"/>
            <family val="2"/>
            <charset val="238"/>
          </rPr>
          <t xml:space="preserve">
</t>
        </r>
      </text>
    </comment>
    <comment ref="G45" authorId="0" shapeId="0" xr:uid="{48E940CE-5704-44CC-8709-C940AB0D8CE7}">
      <text>
        <r>
          <rPr>
            <b/>
            <sz val="8"/>
            <color indexed="81"/>
            <rFont val="Tahoma"/>
            <family val="2"/>
            <charset val="238"/>
          </rPr>
          <t>VLOŽ JEDNOTKOVOU CENU ZHOTOVITELE ZA POLOŽKU</t>
        </r>
        <r>
          <rPr>
            <sz val="8"/>
            <color indexed="81"/>
            <rFont val="Tahoma"/>
            <family val="2"/>
            <charset val="238"/>
          </rPr>
          <t xml:space="preserve">
</t>
        </r>
      </text>
    </comment>
    <comment ref="G47" authorId="0" shapeId="0" xr:uid="{4D9DE246-6569-4DF0-9886-76D80619C24D}">
      <text>
        <r>
          <rPr>
            <b/>
            <sz val="8"/>
            <color indexed="81"/>
            <rFont val="Tahoma"/>
            <family val="2"/>
            <charset val="238"/>
          </rPr>
          <t>VLOŽ JEDNOTKOVOU CENU ZHOTOVITELE ZA POLOŽKU</t>
        </r>
        <r>
          <rPr>
            <sz val="8"/>
            <color indexed="81"/>
            <rFont val="Tahoma"/>
            <family val="2"/>
            <charset val="238"/>
          </rPr>
          <t xml:space="preserve">
</t>
        </r>
      </text>
    </comment>
    <comment ref="G49" authorId="0" shapeId="0" xr:uid="{30902410-C39E-425A-9643-70C329A51CCE}">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DA58EC8A-F691-4F64-A797-83702C0C2FC7}">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EE480749-E838-4A75-B40D-5612AE81E1A0}">
      <text>
        <r>
          <rPr>
            <b/>
            <sz val="8"/>
            <color indexed="81"/>
            <rFont val="Tahoma"/>
            <family val="2"/>
            <charset val="238"/>
          </rPr>
          <t>VLOŽ JEDNOTKOVOU CENU ZHOTOVITELE ZA POLOŽKU</t>
        </r>
        <r>
          <rPr>
            <sz val="8"/>
            <color indexed="81"/>
            <rFont val="Tahoma"/>
            <family val="2"/>
            <charset val="238"/>
          </rPr>
          <t xml:space="preserve">
</t>
        </r>
      </text>
    </comment>
    <comment ref="G56" authorId="0" shapeId="0" xr:uid="{84C2EE42-4807-4721-8D5A-BE3E427301F2}">
      <text>
        <r>
          <rPr>
            <b/>
            <sz val="8"/>
            <color indexed="81"/>
            <rFont val="Tahoma"/>
            <family val="2"/>
            <charset val="238"/>
          </rPr>
          <t>VLOŽ JEDNOTKOVOU CENU ZHOTOVITELE ZA POLOŽKU</t>
        </r>
        <r>
          <rPr>
            <sz val="8"/>
            <color indexed="81"/>
            <rFont val="Tahoma"/>
            <family val="2"/>
            <charset val="238"/>
          </rPr>
          <t xml:space="preserve">
</t>
        </r>
      </text>
    </comment>
    <comment ref="G59" authorId="0" shapeId="0" xr:uid="{09CC62C6-6489-43EF-8F4E-CF628C156C5E}">
      <text>
        <r>
          <rPr>
            <b/>
            <sz val="8"/>
            <color indexed="81"/>
            <rFont val="Tahoma"/>
            <family val="2"/>
            <charset val="238"/>
          </rPr>
          <t>VLOŽ JEDNOTKOVOU CENU ZHOTOVITELE ZA POLOŽKU</t>
        </r>
        <r>
          <rPr>
            <sz val="8"/>
            <color indexed="81"/>
            <rFont val="Tahoma"/>
            <family val="2"/>
            <charset val="238"/>
          </rPr>
          <t xml:space="preserve">
</t>
        </r>
      </text>
    </comment>
    <comment ref="G62" authorId="0" shapeId="0" xr:uid="{3CBE118B-4FC8-4932-8002-194A6B5511DA}">
      <text>
        <r>
          <rPr>
            <b/>
            <sz val="8"/>
            <color indexed="81"/>
            <rFont val="Tahoma"/>
            <family val="2"/>
            <charset val="238"/>
          </rPr>
          <t>VLOŽ JEDNOTKOVOU CENU ZHOTOVITELE ZA POLOŽKU</t>
        </r>
        <r>
          <rPr>
            <sz val="8"/>
            <color indexed="81"/>
            <rFont val="Tahoma"/>
            <family val="2"/>
            <charset val="238"/>
          </rPr>
          <t xml:space="preserve">
</t>
        </r>
      </text>
    </comment>
    <comment ref="G65" authorId="0" shapeId="0" xr:uid="{395F5680-CFC6-4329-B829-A65DD1917B6A}">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245D02BF-FDDB-4DD6-B453-065484F549BE}">
      <text>
        <r>
          <rPr>
            <b/>
            <sz val="8"/>
            <color indexed="81"/>
            <rFont val="Tahoma"/>
            <family val="2"/>
            <charset val="238"/>
          </rPr>
          <t>VLOŽ JEDNOTKOVOU CENU ZHOTOVITELE ZA POLOŽKU</t>
        </r>
        <r>
          <rPr>
            <sz val="8"/>
            <color indexed="81"/>
            <rFont val="Tahoma"/>
            <family val="2"/>
            <charset val="238"/>
          </rPr>
          <t xml:space="preserve">
</t>
        </r>
      </text>
    </comment>
    <comment ref="G70" authorId="0" shapeId="0" xr:uid="{548D0624-31A5-4FB0-A363-DE1263B8BFCC}">
      <text>
        <r>
          <rPr>
            <b/>
            <sz val="8"/>
            <color indexed="81"/>
            <rFont val="Tahoma"/>
            <family val="2"/>
            <charset val="238"/>
          </rPr>
          <t>VLOŽ JEDNOTKOVOU CENU ZHOTOVITELE ZA POLOŽKU</t>
        </r>
        <r>
          <rPr>
            <sz val="8"/>
            <color indexed="81"/>
            <rFont val="Tahoma"/>
            <family val="2"/>
            <charset val="238"/>
          </rPr>
          <t xml:space="preserve">
</t>
        </r>
      </text>
    </comment>
    <comment ref="G72" authorId="0" shapeId="0" xr:uid="{FD22D876-78EC-441E-83C8-AE1D030E6E03}">
      <text>
        <r>
          <rPr>
            <b/>
            <sz val="8"/>
            <color indexed="81"/>
            <rFont val="Tahoma"/>
            <family val="2"/>
            <charset val="238"/>
          </rPr>
          <t>VLOŽ JEDNOTKOVOU CENU ZHOTOVITELE ZA POLOŽKU</t>
        </r>
        <r>
          <rPr>
            <sz val="8"/>
            <color indexed="81"/>
            <rFont val="Tahoma"/>
            <family val="2"/>
            <charset val="238"/>
          </rPr>
          <t xml:space="preserve">
</t>
        </r>
      </text>
    </comment>
    <comment ref="G74" authorId="0" shapeId="0" xr:uid="{25025612-2FE3-44AE-8D69-46BD988BA28D}">
      <text>
        <r>
          <rPr>
            <b/>
            <sz val="8"/>
            <color indexed="81"/>
            <rFont val="Tahoma"/>
            <family val="2"/>
            <charset val="238"/>
          </rPr>
          <t>VLOŽ JEDNOTKOVOU CENU ZHOTOVITELE ZA POLOŽKU</t>
        </r>
        <r>
          <rPr>
            <sz val="8"/>
            <color indexed="81"/>
            <rFont val="Tahoma"/>
            <family val="2"/>
            <charset val="238"/>
          </rPr>
          <t xml:space="preserve">
</t>
        </r>
      </text>
    </comment>
    <comment ref="G77" authorId="0" shapeId="0" xr:uid="{E6DD9B5E-2AAC-43FA-866B-F8C5C3498110}">
      <text>
        <r>
          <rPr>
            <b/>
            <sz val="8"/>
            <color indexed="81"/>
            <rFont val="Tahoma"/>
            <family val="2"/>
            <charset val="238"/>
          </rPr>
          <t>VLOŽ JEDNOTKOVOU CENU ZHOTOVITELE ZA POLOŽKU</t>
        </r>
        <r>
          <rPr>
            <sz val="8"/>
            <color indexed="81"/>
            <rFont val="Tahoma"/>
            <family val="2"/>
            <charset val="238"/>
          </rPr>
          <t xml:space="preserve">
</t>
        </r>
      </text>
    </comment>
    <comment ref="G80" authorId="0" shapeId="0" xr:uid="{F3FA6E77-A7C7-4D32-A2CD-1D9D8BF6AA5D}">
      <text>
        <r>
          <rPr>
            <b/>
            <sz val="8"/>
            <color indexed="81"/>
            <rFont val="Tahoma"/>
            <family val="2"/>
            <charset val="238"/>
          </rPr>
          <t>VLOŽ JEDNOTKOVOU CENU ZHOTOVITELE ZA POLOŽKU</t>
        </r>
        <r>
          <rPr>
            <sz val="8"/>
            <color indexed="81"/>
            <rFont val="Tahoma"/>
            <family val="2"/>
            <charset val="238"/>
          </rPr>
          <t xml:space="preserve">
</t>
        </r>
      </text>
    </comment>
    <comment ref="G83" authorId="0" shapeId="0" xr:uid="{A5A8333D-E1AD-438E-93AD-FB975A091E29}">
      <text>
        <r>
          <rPr>
            <b/>
            <sz val="8"/>
            <color indexed="81"/>
            <rFont val="Tahoma"/>
            <family val="2"/>
            <charset val="238"/>
          </rPr>
          <t>VLOŽ JEDNOTKOVOU CENU ZHOTOVITELE ZA POLOŽKU</t>
        </r>
        <r>
          <rPr>
            <sz val="8"/>
            <color indexed="81"/>
            <rFont val="Tahoma"/>
            <family val="2"/>
            <charset val="238"/>
          </rPr>
          <t xml:space="preserve">
</t>
        </r>
      </text>
    </comment>
    <comment ref="G84" authorId="0" shapeId="0" xr:uid="{B82FFB37-2603-4BA7-A191-7CD82695222E}">
      <text>
        <r>
          <rPr>
            <b/>
            <sz val="8"/>
            <color indexed="81"/>
            <rFont val="Tahoma"/>
            <family val="2"/>
            <charset val="238"/>
          </rPr>
          <t>VLOŽ JEDNOTKOVOU CENU ZHOTOVITELE ZA POLOŽKU</t>
        </r>
        <r>
          <rPr>
            <sz val="8"/>
            <color indexed="81"/>
            <rFont val="Tahoma"/>
            <family val="2"/>
            <charset val="238"/>
          </rPr>
          <t xml:space="preserve">
</t>
        </r>
      </text>
    </comment>
    <comment ref="G86" authorId="0" shapeId="0" xr:uid="{AB9183DD-7A51-4A9C-A637-D519564E5A1B}">
      <text>
        <r>
          <rPr>
            <b/>
            <sz val="8"/>
            <color indexed="81"/>
            <rFont val="Tahoma"/>
            <family val="2"/>
            <charset val="238"/>
          </rPr>
          <t>VLOŽ JEDNOTKOVOU CENU ZHOTOVITELE ZA POLOŽKU</t>
        </r>
        <r>
          <rPr>
            <sz val="8"/>
            <color indexed="81"/>
            <rFont val="Tahoma"/>
            <family val="2"/>
            <charset val="238"/>
          </rPr>
          <t xml:space="preserve">
</t>
        </r>
      </text>
    </comment>
    <comment ref="G89" authorId="0" shapeId="0" xr:uid="{914ADCCD-67E2-425C-B814-D17A32797F1C}">
      <text>
        <r>
          <rPr>
            <b/>
            <sz val="8"/>
            <color indexed="81"/>
            <rFont val="Tahoma"/>
            <family val="2"/>
            <charset val="238"/>
          </rPr>
          <t>VLOŽ JEDNOTKOVOU CENU ZHOTOVITELE ZA POLOŽKU</t>
        </r>
        <r>
          <rPr>
            <sz val="8"/>
            <color indexed="81"/>
            <rFont val="Tahoma"/>
            <family val="2"/>
            <charset val="238"/>
          </rPr>
          <t xml:space="preserve">
</t>
        </r>
      </text>
    </comment>
    <comment ref="G90" authorId="0" shapeId="0" xr:uid="{877DF507-6841-486B-90F3-912EEBB1D432}">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63989974-7464-4800-A6CD-AE4BC82873B1}">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D31EB9D8-AEFE-4E96-B05B-680D64457F9C}">
      <text>
        <r>
          <rPr>
            <b/>
            <sz val="8"/>
            <color indexed="81"/>
            <rFont val="Tahoma"/>
            <family val="2"/>
            <charset val="238"/>
          </rPr>
          <t>VLOŽ JEDNOTKOVOU CENU ZHOTOVITELE ZA POLOŽKU</t>
        </r>
        <r>
          <rPr>
            <sz val="8"/>
            <color indexed="81"/>
            <rFont val="Tahoma"/>
            <family val="2"/>
            <charset val="238"/>
          </rPr>
          <t xml:space="preserve">
</t>
        </r>
      </text>
    </comment>
    <comment ref="G17" authorId="0" shapeId="0" xr:uid="{665F1BB0-996B-466A-B010-0637C0771E30}">
      <text>
        <r>
          <rPr>
            <b/>
            <sz val="8"/>
            <color indexed="81"/>
            <rFont val="Tahoma"/>
            <family val="2"/>
            <charset val="238"/>
          </rPr>
          <t>VLOŽ JEDNOTKOVOU CENU ZHOTOVITELE ZA POLOŽKU</t>
        </r>
        <r>
          <rPr>
            <sz val="8"/>
            <color indexed="81"/>
            <rFont val="Tahoma"/>
            <family val="2"/>
            <charset val="238"/>
          </rPr>
          <t xml:space="preserve">
</t>
        </r>
      </text>
    </comment>
    <comment ref="G19" authorId="0" shapeId="0" xr:uid="{19696111-9C29-4C53-AF17-B44210F6E944}">
      <text>
        <r>
          <rPr>
            <b/>
            <sz val="8"/>
            <color indexed="81"/>
            <rFont val="Tahoma"/>
            <family val="2"/>
            <charset val="238"/>
          </rPr>
          <t>VLOŽ JEDNOTKOVOU CENU ZHOTOVITELE ZA POLOŽKU</t>
        </r>
        <r>
          <rPr>
            <sz val="8"/>
            <color indexed="81"/>
            <rFont val="Tahoma"/>
            <family val="2"/>
            <charset val="238"/>
          </rPr>
          <t xml:space="preserve">
</t>
        </r>
      </text>
    </comment>
    <comment ref="G21" authorId="0" shapeId="0" xr:uid="{1DE68A86-1FFA-4C36-A28F-53B86C6897C3}">
      <text>
        <r>
          <rPr>
            <b/>
            <sz val="8"/>
            <color indexed="81"/>
            <rFont val="Tahoma"/>
            <family val="2"/>
            <charset val="238"/>
          </rPr>
          <t>VLOŽ JEDNOTKOVOU CENU ZHOTOVITELE ZA POLOŽKU</t>
        </r>
        <r>
          <rPr>
            <sz val="8"/>
            <color indexed="81"/>
            <rFont val="Tahoma"/>
            <family val="2"/>
            <charset val="238"/>
          </rPr>
          <t xml:space="preserve">
</t>
        </r>
      </text>
    </comment>
    <comment ref="G24" authorId="0" shapeId="0" xr:uid="{5C6FB69C-6EEF-4CF4-94C4-1BBE18E3D0C7}">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AAC9F44A-05BC-4A65-A057-DF54AD8C8634}">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9C88012A-879A-4D08-ABE9-B52A5F52A57D}">
      <text>
        <r>
          <rPr>
            <b/>
            <sz val="8"/>
            <color indexed="81"/>
            <rFont val="Tahoma"/>
            <family val="2"/>
            <charset val="238"/>
          </rPr>
          <t>VLOŽ JEDNOTKOVOU CENU ZHOTOVITELE ZA POLOŽKU</t>
        </r>
        <r>
          <rPr>
            <sz val="8"/>
            <color indexed="81"/>
            <rFont val="Tahoma"/>
            <family val="2"/>
            <charset val="238"/>
          </rPr>
          <t xml:space="preserve">
</t>
        </r>
      </text>
    </comment>
    <comment ref="G31" authorId="0" shapeId="0" xr:uid="{EB36ED5E-510E-465F-B835-77322D17F1C8}">
      <text>
        <r>
          <rPr>
            <b/>
            <sz val="8"/>
            <color indexed="81"/>
            <rFont val="Tahoma"/>
            <family val="2"/>
            <charset val="238"/>
          </rPr>
          <t>VLOŽ JEDNOTKOVOU CENU ZHOTOVITELE ZA POLOŽKU</t>
        </r>
        <r>
          <rPr>
            <sz val="8"/>
            <color indexed="81"/>
            <rFont val="Tahoma"/>
            <family val="2"/>
            <charset val="238"/>
          </rPr>
          <t xml:space="preserve">
</t>
        </r>
      </text>
    </comment>
    <comment ref="G33" authorId="0" shapeId="0" xr:uid="{A1E79DBE-D4F9-49AA-B0CB-1CF92DA589E4}">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023F92E3-7471-436B-B445-6AD5BA453918}">
      <text>
        <r>
          <rPr>
            <b/>
            <sz val="8"/>
            <color indexed="81"/>
            <rFont val="Tahoma"/>
            <family val="2"/>
            <charset val="238"/>
          </rPr>
          <t>VLOŽ JEDNOTKOVOU CENU ZHOTOVITELE ZA POLOŽKU</t>
        </r>
        <r>
          <rPr>
            <sz val="8"/>
            <color indexed="81"/>
            <rFont val="Tahoma"/>
            <family val="2"/>
            <charset val="238"/>
          </rPr>
          <t xml:space="preserve">
</t>
        </r>
      </text>
    </comment>
    <comment ref="G38" authorId="0" shapeId="0" xr:uid="{B065C57A-9695-473D-917F-0A62B344FD76}">
      <text>
        <r>
          <rPr>
            <b/>
            <sz val="8"/>
            <color indexed="81"/>
            <rFont val="Tahoma"/>
            <family val="2"/>
            <charset val="238"/>
          </rPr>
          <t>VLOŽ JEDNOTKOVOU CENU ZHOTOVITELE ZA POLOŽKU</t>
        </r>
        <r>
          <rPr>
            <sz val="8"/>
            <color indexed="81"/>
            <rFont val="Tahoma"/>
            <family val="2"/>
            <charset val="238"/>
          </rPr>
          <t xml:space="preserve">
</t>
        </r>
      </text>
    </comment>
    <comment ref="G41" authorId="0" shapeId="0" xr:uid="{C9D88E27-B9EB-451E-986F-BB1676823588}">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C87DECBE-E3D2-454C-A984-CEDF8EDE62E0}">
      <text>
        <r>
          <rPr>
            <b/>
            <sz val="8"/>
            <color indexed="81"/>
            <rFont val="Tahoma"/>
            <family val="2"/>
            <charset val="238"/>
          </rPr>
          <t>VLOŽ JEDNOTKOVOU CENU ZHOTOVITELE ZA POLOŽKU</t>
        </r>
        <r>
          <rPr>
            <sz val="8"/>
            <color indexed="81"/>
            <rFont val="Tahoma"/>
            <family val="2"/>
            <charset val="238"/>
          </rPr>
          <t xml:space="preserve">
</t>
        </r>
      </text>
    </comment>
    <comment ref="G45" authorId="0" shapeId="0" xr:uid="{0B5DEA15-8DDF-41F0-B710-C2748DF524DA}">
      <text>
        <r>
          <rPr>
            <b/>
            <sz val="8"/>
            <color indexed="81"/>
            <rFont val="Tahoma"/>
            <family val="2"/>
            <charset val="238"/>
          </rPr>
          <t>VLOŽ JEDNOTKOVOU CENU ZHOTOVITELE ZA POLOŽKU</t>
        </r>
        <r>
          <rPr>
            <sz val="8"/>
            <color indexed="81"/>
            <rFont val="Tahoma"/>
            <family val="2"/>
            <charset val="238"/>
          </rPr>
          <t xml:space="preserve">
</t>
        </r>
      </text>
    </comment>
    <comment ref="G47" authorId="0" shapeId="0" xr:uid="{5AA2DF1D-4724-47A5-BF85-9C8145D0DD2A}">
      <text>
        <r>
          <rPr>
            <b/>
            <sz val="8"/>
            <color indexed="81"/>
            <rFont val="Tahoma"/>
            <family val="2"/>
            <charset val="238"/>
          </rPr>
          <t>VLOŽ JEDNOTKOVOU CENU ZHOTOVITELE ZA POLOŽKU</t>
        </r>
        <r>
          <rPr>
            <sz val="8"/>
            <color indexed="81"/>
            <rFont val="Tahoma"/>
            <family val="2"/>
            <charset val="238"/>
          </rPr>
          <t xml:space="preserve">
</t>
        </r>
      </text>
    </comment>
    <comment ref="G50" authorId="0" shapeId="0" xr:uid="{CD9DED17-6AC5-4165-AFB2-31EBC486E247}">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A42FC1CF-A8DF-4E93-BC5D-C1B6602DA26C}">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5E8BF8F4-9862-4B74-8BD3-CA432ADAEE37}">
      <text>
        <r>
          <rPr>
            <b/>
            <sz val="8"/>
            <color indexed="81"/>
            <rFont val="Tahoma"/>
            <family val="2"/>
            <charset val="238"/>
          </rPr>
          <t>VLOŽ JEDNOTKOVOU CENU ZHOTOVITELE ZA POLOŽKU</t>
        </r>
        <r>
          <rPr>
            <sz val="8"/>
            <color indexed="81"/>
            <rFont val="Tahoma"/>
            <family val="2"/>
            <charset val="238"/>
          </rPr>
          <t xml:space="preserve">
</t>
        </r>
      </text>
    </comment>
    <comment ref="G57" authorId="0" shapeId="0" xr:uid="{5370639A-2CCA-47C0-B661-512E5D1E6875}">
      <text>
        <r>
          <rPr>
            <b/>
            <sz val="8"/>
            <color indexed="81"/>
            <rFont val="Tahoma"/>
            <family val="2"/>
            <charset val="238"/>
          </rPr>
          <t>VLOŽ JEDNOTKOVOU CENU ZHOTOVITELE ZA POLOŽKU</t>
        </r>
        <r>
          <rPr>
            <sz val="8"/>
            <color indexed="81"/>
            <rFont val="Tahoma"/>
            <family val="2"/>
            <charset val="238"/>
          </rPr>
          <t xml:space="preserve">
</t>
        </r>
      </text>
    </comment>
    <comment ref="G60" authorId="0" shapeId="0" xr:uid="{721045D6-AAB7-448B-967B-D48EECBB95D0}">
      <text>
        <r>
          <rPr>
            <b/>
            <sz val="8"/>
            <color indexed="81"/>
            <rFont val="Tahoma"/>
            <family val="2"/>
            <charset val="238"/>
          </rPr>
          <t>VLOŽ JEDNOTKOVOU CENU ZHOTOVITELE ZA POLOŽKU</t>
        </r>
        <r>
          <rPr>
            <sz val="8"/>
            <color indexed="81"/>
            <rFont val="Tahoma"/>
            <family val="2"/>
            <charset val="238"/>
          </rPr>
          <t xml:space="preserve">
</t>
        </r>
      </text>
    </comment>
    <comment ref="G63" authorId="0" shapeId="0" xr:uid="{8F1A1EC5-FD5B-4B46-8B77-CC510B9DC7E2}">
      <text>
        <r>
          <rPr>
            <b/>
            <sz val="8"/>
            <color indexed="81"/>
            <rFont val="Tahoma"/>
            <family val="2"/>
            <charset val="238"/>
          </rPr>
          <t>VLOŽ JEDNOTKOVOU CENU ZHOTOVITELE ZA POLOŽKU</t>
        </r>
        <r>
          <rPr>
            <sz val="8"/>
            <color indexed="81"/>
            <rFont val="Tahoma"/>
            <family val="2"/>
            <charset val="238"/>
          </rPr>
          <t xml:space="preserve">
</t>
        </r>
      </text>
    </comment>
    <comment ref="G66" authorId="0" shapeId="0" xr:uid="{98FB4447-F694-4517-9B55-3DD425F627B2}">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14C2646E-AD04-46C1-8544-53676C2290CB}">
      <text>
        <r>
          <rPr>
            <b/>
            <sz val="8"/>
            <color indexed="81"/>
            <rFont val="Tahoma"/>
            <family val="2"/>
            <charset val="238"/>
          </rPr>
          <t>VLOŽ JEDNOTKOVOU CENU ZHOTOVITELE ZA POLOŽKU</t>
        </r>
        <r>
          <rPr>
            <sz val="8"/>
            <color indexed="81"/>
            <rFont val="Tahoma"/>
            <family val="2"/>
            <charset val="238"/>
          </rPr>
          <t xml:space="preserve">
</t>
        </r>
      </text>
    </comment>
    <comment ref="G70" authorId="0" shapeId="0" xr:uid="{C55E33B9-AC33-49D5-B606-3D00AB622131}">
      <text>
        <r>
          <rPr>
            <b/>
            <sz val="8"/>
            <color indexed="81"/>
            <rFont val="Tahoma"/>
            <family val="2"/>
            <charset val="238"/>
          </rPr>
          <t>VLOŽ JEDNOTKOVOU CENU ZHOTOVITELE ZA POLOŽKU</t>
        </r>
        <r>
          <rPr>
            <sz val="8"/>
            <color indexed="81"/>
            <rFont val="Tahoma"/>
            <family val="2"/>
            <charset val="238"/>
          </rPr>
          <t xml:space="preserve">
</t>
        </r>
      </text>
    </comment>
    <comment ref="G72" authorId="0" shapeId="0" xr:uid="{A41C9A23-50D9-4628-B683-A3145568327E}">
      <text>
        <r>
          <rPr>
            <b/>
            <sz val="8"/>
            <color indexed="81"/>
            <rFont val="Tahoma"/>
            <family val="2"/>
            <charset val="238"/>
          </rPr>
          <t>VLOŽ JEDNOTKOVOU CENU ZHOTOVITELE ZA POLOŽKU</t>
        </r>
        <r>
          <rPr>
            <sz val="8"/>
            <color indexed="81"/>
            <rFont val="Tahoma"/>
            <family val="2"/>
            <charset val="238"/>
          </rPr>
          <t xml:space="preserve">
</t>
        </r>
      </text>
    </comment>
    <comment ref="G75" authorId="0" shapeId="0" xr:uid="{075F38D4-D01B-4358-92A7-B3D19B35EE4B}">
      <text>
        <r>
          <rPr>
            <b/>
            <sz val="8"/>
            <color indexed="81"/>
            <rFont val="Tahoma"/>
            <family val="2"/>
            <charset val="238"/>
          </rPr>
          <t>VLOŽ JEDNOTKOVOU CENU ZHOTOVITELE ZA POLOŽKU</t>
        </r>
        <r>
          <rPr>
            <sz val="8"/>
            <color indexed="81"/>
            <rFont val="Tahoma"/>
            <family val="2"/>
            <charset val="238"/>
          </rPr>
          <t xml:space="preserve">
</t>
        </r>
      </text>
    </comment>
    <comment ref="G78" authorId="0" shapeId="0" xr:uid="{4D88DECB-442F-4641-98ED-2CA91203AA0A}">
      <text>
        <r>
          <rPr>
            <b/>
            <sz val="8"/>
            <color indexed="81"/>
            <rFont val="Tahoma"/>
            <family val="2"/>
            <charset val="238"/>
          </rPr>
          <t>VLOŽ JEDNOTKOVOU CENU ZHOTOVITELE ZA POLOŽKU</t>
        </r>
        <r>
          <rPr>
            <sz val="8"/>
            <color indexed="81"/>
            <rFont val="Tahoma"/>
            <family val="2"/>
            <charset val="238"/>
          </rPr>
          <t xml:space="preserve">
</t>
        </r>
      </text>
    </comment>
    <comment ref="G81" authorId="0" shapeId="0" xr:uid="{03EB22D2-F229-4E21-88B6-09AEDB15138F}">
      <text>
        <r>
          <rPr>
            <b/>
            <sz val="8"/>
            <color indexed="81"/>
            <rFont val="Tahoma"/>
            <family val="2"/>
            <charset val="238"/>
          </rPr>
          <t>VLOŽ JEDNOTKOVOU CENU ZHOTOVITELE ZA POLOŽKU</t>
        </r>
        <r>
          <rPr>
            <sz val="8"/>
            <color indexed="81"/>
            <rFont val="Tahoma"/>
            <family val="2"/>
            <charset val="238"/>
          </rPr>
          <t xml:space="preserve">
</t>
        </r>
      </text>
    </comment>
    <comment ref="G82" authorId="0" shapeId="0" xr:uid="{55571509-5B24-41C5-B8B0-25DB6C7B8399}">
      <text>
        <r>
          <rPr>
            <b/>
            <sz val="8"/>
            <color indexed="81"/>
            <rFont val="Tahoma"/>
            <family val="2"/>
            <charset val="238"/>
          </rPr>
          <t>VLOŽ JEDNOTKOVOU CENU ZHOTOVITELE ZA POLOŽKU</t>
        </r>
        <r>
          <rPr>
            <sz val="8"/>
            <color indexed="81"/>
            <rFont val="Tahoma"/>
            <family val="2"/>
            <charset val="238"/>
          </rPr>
          <t xml:space="preserve">
</t>
        </r>
      </text>
    </comment>
    <comment ref="G84" authorId="0" shapeId="0" xr:uid="{4B8145CE-A580-4959-8754-3F5B12BB525E}">
      <text>
        <r>
          <rPr>
            <b/>
            <sz val="8"/>
            <color indexed="81"/>
            <rFont val="Tahoma"/>
            <family val="2"/>
            <charset val="238"/>
          </rPr>
          <t>VLOŽ JEDNOTKOVOU CENU ZHOTOVITELE ZA POLOŽKU</t>
        </r>
        <r>
          <rPr>
            <sz val="8"/>
            <color indexed="81"/>
            <rFont val="Tahoma"/>
            <family val="2"/>
            <charset val="238"/>
          </rPr>
          <t xml:space="preserve">
</t>
        </r>
      </text>
    </comment>
    <comment ref="G87" authorId="0" shapeId="0" xr:uid="{C9E6821A-8DA4-49EE-85D6-EF9E2093B025}">
      <text>
        <r>
          <rPr>
            <b/>
            <sz val="8"/>
            <color indexed="81"/>
            <rFont val="Tahoma"/>
            <family val="2"/>
            <charset val="238"/>
          </rPr>
          <t>VLOŽ JEDNOTKOVOU CENU ZHOTOVITELE ZA POLOŽKU</t>
        </r>
        <r>
          <rPr>
            <sz val="8"/>
            <color indexed="81"/>
            <rFont val="Tahoma"/>
            <family val="2"/>
            <charset val="238"/>
          </rPr>
          <t xml:space="preserve">
</t>
        </r>
      </text>
    </comment>
    <comment ref="G88" authorId="0" shapeId="0" xr:uid="{B3D55AA4-1D0A-47AB-9B41-9424F603D83D}">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AED36008-5A18-431E-A636-F987485DBA56}">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464DBD5F-AE84-4471-9AD3-5FC0D2FC71E3}">
      <text>
        <r>
          <rPr>
            <b/>
            <sz val="8"/>
            <color indexed="81"/>
            <rFont val="Tahoma"/>
            <family val="2"/>
            <charset val="238"/>
          </rPr>
          <t>VLOŽ JEDNOTKOVOU CENU ZHOTOVITELE ZA POLOŽKU</t>
        </r>
        <r>
          <rPr>
            <sz val="8"/>
            <color indexed="81"/>
            <rFont val="Tahoma"/>
            <family val="2"/>
            <charset val="238"/>
          </rPr>
          <t xml:space="preserve">
</t>
        </r>
      </text>
    </comment>
    <comment ref="G17" authorId="0" shapeId="0" xr:uid="{83946524-A95A-4D3B-AE9C-126E9BD58125}">
      <text>
        <r>
          <rPr>
            <b/>
            <sz val="8"/>
            <color indexed="81"/>
            <rFont val="Tahoma"/>
            <family val="2"/>
            <charset val="238"/>
          </rPr>
          <t>VLOŽ JEDNOTKOVOU CENU ZHOTOVITELE ZA POLOŽKU</t>
        </r>
        <r>
          <rPr>
            <sz val="8"/>
            <color indexed="81"/>
            <rFont val="Tahoma"/>
            <family val="2"/>
            <charset val="238"/>
          </rPr>
          <t xml:space="preserve">
</t>
        </r>
      </text>
    </comment>
    <comment ref="G19" authorId="0" shapeId="0" xr:uid="{FAE675B4-DD84-46E2-B095-272BE44E6413}">
      <text>
        <r>
          <rPr>
            <b/>
            <sz val="8"/>
            <color indexed="81"/>
            <rFont val="Tahoma"/>
            <family val="2"/>
            <charset val="238"/>
          </rPr>
          <t>VLOŽ JEDNOTKOVOU CENU ZHOTOVITELE ZA POLOŽKU</t>
        </r>
        <r>
          <rPr>
            <sz val="8"/>
            <color indexed="81"/>
            <rFont val="Tahoma"/>
            <family val="2"/>
            <charset val="238"/>
          </rPr>
          <t xml:space="preserve">
</t>
        </r>
      </text>
    </comment>
    <comment ref="G21" authorId="0" shapeId="0" xr:uid="{81AEB28B-40B2-4BF1-8FBB-1298532B81E2}">
      <text>
        <r>
          <rPr>
            <b/>
            <sz val="8"/>
            <color indexed="81"/>
            <rFont val="Tahoma"/>
            <family val="2"/>
            <charset val="238"/>
          </rPr>
          <t>VLOŽ JEDNOTKOVOU CENU ZHOTOVITELE ZA POLOŽKU</t>
        </r>
        <r>
          <rPr>
            <sz val="8"/>
            <color indexed="81"/>
            <rFont val="Tahoma"/>
            <family val="2"/>
            <charset val="238"/>
          </rPr>
          <t xml:space="preserve">
</t>
        </r>
      </text>
    </comment>
    <comment ref="G24" authorId="0" shapeId="0" xr:uid="{00E1D6E9-06A2-42F6-889E-A12457262E9E}">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320D6D5B-2849-4748-AD87-6880BE686055}">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5439D51E-B0A6-4244-853B-CA0ED6195DE2}">
      <text>
        <r>
          <rPr>
            <b/>
            <sz val="8"/>
            <color indexed="81"/>
            <rFont val="Tahoma"/>
            <family val="2"/>
            <charset val="238"/>
          </rPr>
          <t>VLOŽ JEDNOTKOVOU CENU ZHOTOVITELE ZA POLOŽKU</t>
        </r>
        <r>
          <rPr>
            <sz val="8"/>
            <color indexed="81"/>
            <rFont val="Tahoma"/>
            <family val="2"/>
            <charset val="238"/>
          </rPr>
          <t xml:space="preserve">
</t>
        </r>
      </text>
    </comment>
    <comment ref="G31" authorId="0" shapeId="0" xr:uid="{E5148E34-A812-485D-AF36-073916F5A74B}">
      <text>
        <r>
          <rPr>
            <b/>
            <sz val="8"/>
            <color indexed="81"/>
            <rFont val="Tahoma"/>
            <family val="2"/>
            <charset val="238"/>
          </rPr>
          <t>VLOŽ JEDNOTKOVOU CENU ZHOTOVITELE ZA POLOŽKU</t>
        </r>
        <r>
          <rPr>
            <sz val="8"/>
            <color indexed="81"/>
            <rFont val="Tahoma"/>
            <family val="2"/>
            <charset val="238"/>
          </rPr>
          <t xml:space="preserve">
</t>
        </r>
      </text>
    </comment>
    <comment ref="G33" authorId="0" shapeId="0" xr:uid="{C3366077-CAA3-42B7-B888-97943F728775}">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47A1D384-BBA1-4974-9A26-9A6E4A92E400}">
      <text>
        <r>
          <rPr>
            <b/>
            <sz val="8"/>
            <color indexed="81"/>
            <rFont val="Tahoma"/>
            <family val="2"/>
            <charset val="238"/>
          </rPr>
          <t>VLOŽ JEDNOTKOVOU CENU ZHOTOVITELE ZA POLOŽKU</t>
        </r>
        <r>
          <rPr>
            <sz val="8"/>
            <color indexed="81"/>
            <rFont val="Tahoma"/>
            <family val="2"/>
            <charset val="238"/>
          </rPr>
          <t xml:space="preserve">
</t>
        </r>
      </text>
    </comment>
    <comment ref="G38" authorId="0" shapeId="0" xr:uid="{9951BCB9-F760-4D47-B4B1-A552D843C1FA}">
      <text>
        <r>
          <rPr>
            <b/>
            <sz val="8"/>
            <color indexed="81"/>
            <rFont val="Tahoma"/>
            <family val="2"/>
            <charset val="238"/>
          </rPr>
          <t>VLOŽ JEDNOTKOVOU CENU ZHOTOVITELE ZA POLOŽKU</t>
        </r>
        <r>
          <rPr>
            <sz val="8"/>
            <color indexed="81"/>
            <rFont val="Tahoma"/>
            <family val="2"/>
            <charset val="238"/>
          </rPr>
          <t xml:space="preserve">
</t>
        </r>
      </text>
    </comment>
    <comment ref="G41" authorId="0" shapeId="0" xr:uid="{B2598777-9653-4D40-8EE6-26A42EBF3F5F}">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06A151D6-0BC0-4E17-B9E3-41CB4A1779C0}">
      <text>
        <r>
          <rPr>
            <b/>
            <sz val="8"/>
            <color indexed="81"/>
            <rFont val="Tahoma"/>
            <family val="2"/>
            <charset val="238"/>
          </rPr>
          <t>VLOŽ JEDNOTKOVOU CENU ZHOTOVITELE ZA POLOŽKU</t>
        </r>
        <r>
          <rPr>
            <sz val="8"/>
            <color indexed="81"/>
            <rFont val="Tahoma"/>
            <family val="2"/>
            <charset val="238"/>
          </rPr>
          <t xml:space="preserve">
</t>
        </r>
      </text>
    </comment>
    <comment ref="G45" authorId="0" shapeId="0" xr:uid="{EF205C0A-3066-4E51-AD98-1A5B3571B4A9}">
      <text>
        <r>
          <rPr>
            <b/>
            <sz val="8"/>
            <color indexed="81"/>
            <rFont val="Tahoma"/>
            <family val="2"/>
            <charset val="238"/>
          </rPr>
          <t>VLOŽ JEDNOTKOVOU CENU ZHOTOVITELE ZA POLOŽKU</t>
        </r>
        <r>
          <rPr>
            <sz val="8"/>
            <color indexed="81"/>
            <rFont val="Tahoma"/>
            <family val="2"/>
            <charset val="238"/>
          </rPr>
          <t xml:space="preserve">
</t>
        </r>
      </text>
    </comment>
    <comment ref="G47" authorId="0" shapeId="0" xr:uid="{EB0DED21-8A86-4212-B8A3-A748CB4CBF92}">
      <text>
        <r>
          <rPr>
            <b/>
            <sz val="8"/>
            <color indexed="81"/>
            <rFont val="Tahoma"/>
            <family val="2"/>
            <charset val="238"/>
          </rPr>
          <t>VLOŽ JEDNOTKOVOU CENU ZHOTOVITELE ZA POLOŽKU</t>
        </r>
        <r>
          <rPr>
            <sz val="8"/>
            <color indexed="81"/>
            <rFont val="Tahoma"/>
            <family val="2"/>
            <charset val="238"/>
          </rPr>
          <t xml:space="preserve">
</t>
        </r>
      </text>
    </comment>
    <comment ref="G50" authorId="0" shapeId="0" xr:uid="{DEEA9F19-4A43-49FF-8C30-66851536B730}">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EB459261-B949-49B9-8A6B-67B3A6D9D4B4}">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E9E1E210-C4B7-44FE-AA4F-F1378516760B}">
      <text>
        <r>
          <rPr>
            <b/>
            <sz val="8"/>
            <color indexed="81"/>
            <rFont val="Tahoma"/>
            <family val="2"/>
            <charset val="238"/>
          </rPr>
          <t>VLOŽ JEDNOTKOVOU CENU ZHOTOVITELE ZA POLOŽKU</t>
        </r>
        <r>
          <rPr>
            <sz val="8"/>
            <color indexed="81"/>
            <rFont val="Tahoma"/>
            <family val="2"/>
            <charset val="238"/>
          </rPr>
          <t xml:space="preserve">
</t>
        </r>
      </text>
    </comment>
    <comment ref="G57" authorId="0" shapeId="0" xr:uid="{953D5096-3992-4906-90D0-A2F5BCB587EB}">
      <text>
        <r>
          <rPr>
            <b/>
            <sz val="8"/>
            <color indexed="81"/>
            <rFont val="Tahoma"/>
            <family val="2"/>
            <charset val="238"/>
          </rPr>
          <t>VLOŽ JEDNOTKOVOU CENU ZHOTOVITELE ZA POLOŽKU</t>
        </r>
        <r>
          <rPr>
            <sz val="8"/>
            <color indexed="81"/>
            <rFont val="Tahoma"/>
            <family val="2"/>
            <charset val="238"/>
          </rPr>
          <t xml:space="preserve">
</t>
        </r>
      </text>
    </comment>
    <comment ref="G60" authorId="0" shapeId="0" xr:uid="{2E63ACE7-5268-467F-A537-3DFF61CBC7FB}">
      <text>
        <r>
          <rPr>
            <b/>
            <sz val="8"/>
            <color indexed="81"/>
            <rFont val="Tahoma"/>
            <family val="2"/>
            <charset val="238"/>
          </rPr>
          <t>VLOŽ JEDNOTKOVOU CENU ZHOTOVITELE ZA POLOŽKU</t>
        </r>
        <r>
          <rPr>
            <sz val="8"/>
            <color indexed="81"/>
            <rFont val="Tahoma"/>
            <family val="2"/>
            <charset val="238"/>
          </rPr>
          <t xml:space="preserve">
</t>
        </r>
      </text>
    </comment>
    <comment ref="G63" authorId="0" shapeId="0" xr:uid="{2F159759-56B0-4DA3-95CC-3CE0433C8C9A}">
      <text>
        <r>
          <rPr>
            <b/>
            <sz val="8"/>
            <color indexed="81"/>
            <rFont val="Tahoma"/>
            <family val="2"/>
            <charset val="238"/>
          </rPr>
          <t>VLOŽ JEDNOTKOVOU CENU ZHOTOVITELE ZA POLOŽKU</t>
        </r>
        <r>
          <rPr>
            <sz val="8"/>
            <color indexed="81"/>
            <rFont val="Tahoma"/>
            <family val="2"/>
            <charset val="238"/>
          </rPr>
          <t xml:space="preserve">
</t>
        </r>
      </text>
    </comment>
    <comment ref="G66" authorId="0" shapeId="0" xr:uid="{7F37DAC1-BFB8-4FB8-BF21-9C1EC0B21802}">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3BB9E02E-1EFE-4F13-85D1-06E2F26DDC9D}">
      <text>
        <r>
          <rPr>
            <b/>
            <sz val="8"/>
            <color indexed="81"/>
            <rFont val="Tahoma"/>
            <family val="2"/>
            <charset val="238"/>
          </rPr>
          <t>VLOŽ JEDNOTKOVOU CENU ZHOTOVITELE ZA POLOŽKU</t>
        </r>
        <r>
          <rPr>
            <sz val="8"/>
            <color indexed="81"/>
            <rFont val="Tahoma"/>
            <family val="2"/>
            <charset val="238"/>
          </rPr>
          <t xml:space="preserve">
</t>
        </r>
      </text>
    </comment>
    <comment ref="G70" authorId="0" shapeId="0" xr:uid="{B2B10ED2-C713-43DF-B4A6-520B98A649BB}">
      <text>
        <r>
          <rPr>
            <b/>
            <sz val="8"/>
            <color indexed="81"/>
            <rFont val="Tahoma"/>
            <family val="2"/>
            <charset val="238"/>
          </rPr>
          <t>VLOŽ JEDNOTKOVOU CENU ZHOTOVITELE ZA POLOŽKU</t>
        </r>
        <r>
          <rPr>
            <sz val="8"/>
            <color indexed="81"/>
            <rFont val="Tahoma"/>
            <family val="2"/>
            <charset val="238"/>
          </rPr>
          <t xml:space="preserve">
</t>
        </r>
      </text>
    </comment>
    <comment ref="G72" authorId="0" shapeId="0" xr:uid="{5B347236-700E-4AA3-8539-7C63CA1613E3}">
      <text>
        <r>
          <rPr>
            <b/>
            <sz val="8"/>
            <color indexed="81"/>
            <rFont val="Tahoma"/>
            <family val="2"/>
            <charset val="238"/>
          </rPr>
          <t>VLOŽ JEDNOTKOVOU CENU ZHOTOVITELE ZA POLOŽKU</t>
        </r>
        <r>
          <rPr>
            <sz val="8"/>
            <color indexed="81"/>
            <rFont val="Tahoma"/>
            <family val="2"/>
            <charset val="238"/>
          </rPr>
          <t xml:space="preserve">
</t>
        </r>
      </text>
    </comment>
    <comment ref="G75" authorId="0" shapeId="0" xr:uid="{195662DD-B36C-47F5-BFA1-EF2AE8A4C88E}">
      <text>
        <r>
          <rPr>
            <b/>
            <sz val="8"/>
            <color indexed="81"/>
            <rFont val="Tahoma"/>
            <family val="2"/>
            <charset val="238"/>
          </rPr>
          <t>VLOŽ JEDNOTKOVOU CENU ZHOTOVITELE ZA POLOŽKU</t>
        </r>
        <r>
          <rPr>
            <sz val="8"/>
            <color indexed="81"/>
            <rFont val="Tahoma"/>
            <family val="2"/>
            <charset val="238"/>
          </rPr>
          <t xml:space="preserve">
</t>
        </r>
      </text>
    </comment>
    <comment ref="G78" authorId="0" shapeId="0" xr:uid="{9E790749-3F45-4607-BEB6-C2E89F9BE431}">
      <text>
        <r>
          <rPr>
            <b/>
            <sz val="8"/>
            <color indexed="81"/>
            <rFont val="Tahoma"/>
            <family val="2"/>
            <charset val="238"/>
          </rPr>
          <t>VLOŽ JEDNOTKOVOU CENU ZHOTOVITELE ZA POLOŽKU</t>
        </r>
        <r>
          <rPr>
            <sz val="8"/>
            <color indexed="81"/>
            <rFont val="Tahoma"/>
            <family val="2"/>
            <charset val="238"/>
          </rPr>
          <t xml:space="preserve">
</t>
        </r>
      </text>
    </comment>
    <comment ref="G81" authorId="0" shapeId="0" xr:uid="{44233E27-FBF2-4267-86DB-11C3E6E4F847}">
      <text>
        <r>
          <rPr>
            <b/>
            <sz val="8"/>
            <color indexed="81"/>
            <rFont val="Tahoma"/>
            <family val="2"/>
            <charset val="238"/>
          </rPr>
          <t>VLOŽ JEDNOTKOVOU CENU ZHOTOVITELE ZA POLOŽKU</t>
        </r>
        <r>
          <rPr>
            <sz val="8"/>
            <color indexed="81"/>
            <rFont val="Tahoma"/>
            <family val="2"/>
            <charset val="238"/>
          </rPr>
          <t xml:space="preserve">
</t>
        </r>
      </text>
    </comment>
    <comment ref="G82" authorId="0" shapeId="0" xr:uid="{0DAB9203-BFC2-404E-93C0-042641C23B70}">
      <text>
        <r>
          <rPr>
            <b/>
            <sz val="8"/>
            <color indexed="81"/>
            <rFont val="Tahoma"/>
            <family val="2"/>
            <charset val="238"/>
          </rPr>
          <t>VLOŽ JEDNOTKOVOU CENU ZHOTOVITELE ZA POLOŽKU</t>
        </r>
        <r>
          <rPr>
            <sz val="8"/>
            <color indexed="81"/>
            <rFont val="Tahoma"/>
            <family val="2"/>
            <charset val="238"/>
          </rPr>
          <t xml:space="preserve">
</t>
        </r>
      </text>
    </comment>
    <comment ref="G84" authorId="0" shapeId="0" xr:uid="{D5F31849-CA23-477B-A4EA-F0B690C0675C}">
      <text>
        <r>
          <rPr>
            <b/>
            <sz val="8"/>
            <color indexed="81"/>
            <rFont val="Tahoma"/>
            <family val="2"/>
            <charset val="238"/>
          </rPr>
          <t>VLOŽ JEDNOTKOVOU CENU ZHOTOVITELE ZA POLOŽKU</t>
        </r>
        <r>
          <rPr>
            <sz val="8"/>
            <color indexed="81"/>
            <rFont val="Tahoma"/>
            <family val="2"/>
            <charset val="238"/>
          </rPr>
          <t xml:space="preserve">
</t>
        </r>
      </text>
    </comment>
    <comment ref="G87" authorId="0" shapeId="0" xr:uid="{98628550-8050-4A19-9714-AC94505C26FF}">
      <text>
        <r>
          <rPr>
            <b/>
            <sz val="8"/>
            <color indexed="81"/>
            <rFont val="Tahoma"/>
            <family val="2"/>
            <charset val="238"/>
          </rPr>
          <t>VLOŽ JEDNOTKOVOU CENU ZHOTOVITELE ZA POLOŽKU</t>
        </r>
        <r>
          <rPr>
            <sz val="8"/>
            <color indexed="81"/>
            <rFont val="Tahoma"/>
            <family val="2"/>
            <charset val="238"/>
          </rPr>
          <t xml:space="preserve">
</t>
        </r>
      </text>
    </comment>
    <comment ref="G88" authorId="0" shapeId="0" xr:uid="{08698A84-5628-4DCF-B907-0D5363EDB0CA}">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44BAD9E7-5B14-4AB9-B324-2D1E8DB4862B}">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5B325368-8272-4241-BD2C-48592F3A1E78}">
      <text>
        <r>
          <rPr>
            <b/>
            <sz val="8"/>
            <color indexed="81"/>
            <rFont val="Tahoma"/>
            <family val="2"/>
            <charset val="238"/>
          </rPr>
          <t>VLOŽ JEDNOTKOVOU CENU ZHOTOVITELE ZA POLOŽKU</t>
        </r>
        <r>
          <rPr>
            <sz val="8"/>
            <color indexed="81"/>
            <rFont val="Tahoma"/>
            <family val="2"/>
            <charset val="238"/>
          </rPr>
          <t xml:space="preserve">
</t>
        </r>
      </text>
    </comment>
    <comment ref="G17" authorId="0" shapeId="0" xr:uid="{F4901FE9-4679-4813-99FA-29F4EA78F11C}">
      <text>
        <r>
          <rPr>
            <b/>
            <sz val="8"/>
            <color indexed="81"/>
            <rFont val="Tahoma"/>
            <family val="2"/>
            <charset val="238"/>
          </rPr>
          <t>VLOŽ JEDNOTKOVOU CENU ZHOTOVITELE ZA POLOŽKU</t>
        </r>
        <r>
          <rPr>
            <sz val="8"/>
            <color indexed="81"/>
            <rFont val="Tahoma"/>
            <family val="2"/>
            <charset val="238"/>
          </rPr>
          <t xml:space="preserve">
</t>
        </r>
      </text>
    </comment>
    <comment ref="G19" authorId="0" shapeId="0" xr:uid="{6E09DBB2-106F-4621-BE8E-03BF77B1D537}">
      <text>
        <r>
          <rPr>
            <b/>
            <sz val="8"/>
            <color indexed="81"/>
            <rFont val="Tahoma"/>
            <family val="2"/>
            <charset val="238"/>
          </rPr>
          <t>VLOŽ JEDNOTKOVOU CENU ZHOTOVITELE ZA POLOŽKU</t>
        </r>
        <r>
          <rPr>
            <sz val="8"/>
            <color indexed="81"/>
            <rFont val="Tahoma"/>
            <family val="2"/>
            <charset val="238"/>
          </rPr>
          <t xml:space="preserve">
</t>
        </r>
      </text>
    </comment>
    <comment ref="G21" authorId="0" shapeId="0" xr:uid="{6AE5C7A3-3648-48F9-A595-4BD1495EF6BE}">
      <text>
        <r>
          <rPr>
            <b/>
            <sz val="8"/>
            <color indexed="81"/>
            <rFont val="Tahoma"/>
            <family val="2"/>
            <charset val="238"/>
          </rPr>
          <t>VLOŽ JEDNOTKOVOU CENU ZHOTOVITELE ZA POLOŽKU</t>
        </r>
        <r>
          <rPr>
            <sz val="8"/>
            <color indexed="81"/>
            <rFont val="Tahoma"/>
            <family val="2"/>
            <charset val="238"/>
          </rPr>
          <t xml:space="preserve">
</t>
        </r>
      </text>
    </comment>
    <comment ref="G24" authorId="0" shapeId="0" xr:uid="{78D039DA-E9F2-4AD1-A0D6-67D41D3990AB}">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84119F4D-D309-43AB-809D-1D0A84B84583}">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4DC395C4-D5D6-4537-9BF4-0BEC49890A01}">
      <text>
        <r>
          <rPr>
            <b/>
            <sz val="8"/>
            <color indexed="81"/>
            <rFont val="Tahoma"/>
            <family val="2"/>
            <charset val="238"/>
          </rPr>
          <t>VLOŽ JEDNOTKOVOU CENU ZHOTOVITELE ZA POLOŽKU</t>
        </r>
        <r>
          <rPr>
            <sz val="8"/>
            <color indexed="81"/>
            <rFont val="Tahoma"/>
            <family val="2"/>
            <charset val="238"/>
          </rPr>
          <t xml:space="preserve">
</t>
        </r>
      </text>
    </comment>
    <comment ref="G31" authorId="0" shapeId="0" xr:uid="{1D92ECFC-DACC-4BCE-AF32-12FDFE2522D8}">
      <text>
        <r>
          <rPr>
            <b/>
            <sz val="8"/>
            <color indexed="81"/>
            <rFont val="Tahoma"/>
            <family val="2"/>
            <charset val="238"/>
          </rPr>
          <t>VLOŽ JEDNOTKOVOU CENU ZHOTOVITELE ZA POLOŽKU</t>
        </r>
        <r>
          <rPr>
            <sz val="8"/>
            <color indexed="81"/>
            <rFont val="Tahoma"/>
            <family val="2"/>
            <charset val="238"/>
          </rPr>
          <t xml:space="preserve">
</t>
        </r>
      </text>
    </comment>
    <comment ref="G33" authorId="0" shapeId="0" xr:uid="{4D268ADB-BF47-4D1A-9322-19A2F955BFC3}">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EE23D173-7A87-48F1-BC5C-CB062068809B}">
      <text>
        <r>
          <rPr>
            <b/>
            <sz val="8"/>
            <color indexed="81"/>
            <rFont val="Tahoma"/>
            <family val="2"/>
            <charset val="238"/>
          </rPr>
          <t>VLOŽ JEDNOTKOVOU CENU ZHOTOVITELE ZA POLOŽKU</t>
        </r>
        <r>
          <rPr>
            <sz val="8"/>
            <color indexed="81"/>
            <rFont val="Tahoma"/>
            <family val="2"/>
            <charset val="238"/>
          </rPr>
          <t xml:space="preserve">
</t>
        </r>
      </text>
    </comment>
    <comment ref="G38" authorId="0" shapeId="0" xr:uid="{A2B5E332-22B2-496A-8C00-1432C5391314}">
      <text>
        <r>
          <rPr>
            <b/>
            <sz val="8"/>
            <color indexed="81"/>
            <rFont val="Tahoma"/>
            <family val="2"/>
            <charset val="238"/>
          </rPr>
          <t>VLOŽ JEDNOTKOVOU CENU ZHOTOVITELE ZA POLOŽKU</t>
        </r>
        <r>
          <rPr>
            <sz val="8"/>
            <color indexed="81"/>
            <rFont val="Tahoma"/>
            <family val="2"/>
            <charset val="238"/>
          </rPr>
          <t xml:space="preserve">
</t>
        </r>
      </text>
    </comment>
    <comment ref="G41" authorId="0" shapeId="0" xr:uid="{CF0CAE57-5E96-4104-9F07-9D66173CDA74}">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361F3E54-A8A7-49AB-8D79-54A6289AEACC}">
      <text>
        <r>
          <rPr>
            <b/>
            <sz val="8"/>
            <color indexed="81"/>
            <rFont val="Tahoma"/>
            <family val="2"/>
            <charset val="238"/>
          </rPr>
          <t>VLOŽ JEDNOTKOVOU CENU ZHOTOVITELE ZA POLOŽKU</t>
        </r>
        <r>
          <rPr>
            <sz val="8"/>
            <color indexed="81"/>
            <rFont val="Tahoma"/>
            <family val="2"/>
            <charset val="238"/>
          </rPr>
          <t xml:space="preserve">
</t>
        </r>
      </text>
    </comment>
    <comment ref="G45" authorId="0" shapeId="0" xr:uid="{2F923FD1-FAB5-4D76-87BF-09320830DE18}">
      <text>
        <r>
          <rPr>
            <b/>
            <sz val="8"/>
            <color indexed="81"/>
            <rFont val="Tahoma"/>
            <family val="2"/>
            <charset val="238"/>
          </rPr>
          <t>VLOŽ JEDNOTKOVOU CENU ZHOTOVITELE ZA POLOŽKU</t>
        </r>
        <r>
          <rPr>
            <sz val="8"/>
            <color indexed="81"/>
            <rFont val="Tahoma"/>
            <family val="2"/>
            <charset val="238"/>
          </rPr>
          <t xml:space="preserve">
</t>
        </r>
      </text>
    </comment>
    <comment ref="G47" authorId="0" shapeId="0" xr:uid="{B390BCB7-F86F-4154-9F15-DB34D20627C9}">
      <text>
        <r>
          <rPr>
            <b/>
            <sz val="8"/>
            <color indexed="81"/>
            <rFont val="Tahoma"/>
            <family val="2"/>
            <charset val="238"/>
          </rPr>
          <t>VLOŽ JEDNOTKOVOU CENU ZHOTOVITELE ZA POLOŽKU</t>
        </r>
        <r>
          <rPr>
            <sz val="8"/>
            <color indexed="81"/>
            <rFont val="Tahoma"/>
            <family val="2"/>
            <charset val="238"/>
          </rPr>
          <t xml:space="preserve">
</t>
        </r>
      </text>
    </comment>
    <comment ref="G50" authorId="0" shapeId="0" xr:uid="{ED153F1D-4C5C-4D3A-9495-4802CA64BDB6}">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31FB7767-391C-4EF6-9FFF-61011117FEA2}">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510D97ED-245E-4CA8-9F9E-CC80E9A9581D}">
      <text>
        <r>
          <rPr>
            <b/>
            <sz val="8"/>
            <color indexed="81"/>
            <rFont val="Tahoma"/>
            <family val="2"/>
            <charset val="238"/>
          </rPr>
          <t>VLOŽ JEDNOTKOVOU CENU ZHOTOVITELE ZA POLOŽKU</t>
        </r>
        <r>
          <rPr>
            <sz val="8"/>
            <color indexed="81"/>
            <rFont val="Tahoma"/>
            <family val="2"/>
            <charset val="238"/>
          </rPr>
          <t xml:space="preserve">
</t>
        </r>
      </text>
    </comment>
    <comment ref="G57" authorId="0" shapeId="0" xr:uid="{19DF76BC-21E6-4BA3-9367-1B96D249D61D}">
      <text>
        <r>
          <rPr>
            <b/>
            <sz val="8"/>
            <color indexed="81"/>
            <rFont val="Tahoma"/>
            <family val="2"/>
            <charset val="238"/>
          </rPr>
          <t>VLOŽ JEDNOTKOVOU CENU ZHOTOVITELE ZA POLOŽKU</t>
        </r>
        <r>
          <rPr>
            <sz val="8"/>
            <color indexed="81"/>
            <rFont val="Tahoma"/>
            <family val="2"/>
            <charset val="238"/>
          </rPr>
          <t xml:space="preserve">
</t>
        </r>
      </text>
    </comment>
    <comment ref="G60" authorId="0" shapeId="0" xr:uid="{CE7AD852-A0D1-4638-91B8-897FEFCC9FF8}">
      <text>
        <r>
          <rPr>
            <b/>
            <sz val="8"/>
            <color indexed="81"/>
            <rFont val="Tahoma"/>
            <family val="2"/>
            <charset val="238"/>
          </rPr>
          <t>VLOŽ JEDNOTKOVOU CENU ZHOTOVITELE ZA POLOŽKU</t>
        </r>
        <r>
          <rPr>
            <sz val="8"/>
            <color indexed="81"/>
            <rFont val="Tahoma"/>
            <family val="2"/>
            <charset val="238"/>
          </rPr>
          <t xml:space="preserve">
</t>
        </r>
      </text>
    </comment>
    <comment ref="G63" authorId="0" shapeId="0" xr:uid="{478D859B-AF7E-4BF2-86D4-626207512030}">
      <text>
        <r>
          <rPr>
            <b/>
            <sz val="8"/>
            <color indexed="81"/>
            <rFont val="Tahoma"/>
            <family val="2"/>
            <charset val="238"/>
          </rPr>
          <t>VLOŽ JEDNOTKOVOU CENU ZHOTOVITELE ZA POLOŽKU</t>
        </r>
        <r>
          <rPr>
            <sz val="8"/>
            <color indexed="81"/>
            <rFont val="Tahoma"/>
            <family val="2"/>
            <charset val="238"/>
          </rPr>
          <t xml:space="preserve">
</t>
        </r>
      </text>
    </comment>
    <comment ref="G66" authorId="0" shapeId="0" xr:uid="{924E115F-263A-46D0-A5D0-DF70EF2792D2}">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7B1DB4B4-FF29-46A1-AF70-8FCACE153D53}">
      <text>
        <r>
          <rPr>
            <b/>
            <sz val="8"/>
            <color indexed="81"/>
            <rFont val="Tahoma"/>
            <family val="2"/>
            <charset val="238"/>
          </rPr>
          <t>VLOŽ JEDNOTKOVOU CENU ZHOTOVITELE ZA POLOŽKU</t>
        </r>
        <r>
          <rPr>
            <sz val="8"/>
            <color indexed="81"/>
            <rFont val="Tahoma"/>
            <family val="2"/>
            <charset val="238"/>
          </rPr>
          <t xml:space="preserve">
</t>
        </r>
      </text>
    </comment>
    <comment ref="G70" authorId="0" shapeId="0" xr:uid="{36181B8B-2250-438D-8070-4FE3FFA2D9D9}">
      <text>
        <r>
          <rPr>
            <b/>
            <sz val="8"/>
            <color indexed="81"/>
            <rFont val="Tahoma"/>
            <family val="2"/>
            <charset val="238"/>
          </rPr>
          <t>VLOŽ JEDNOTKOVOU CENU ZHOTOVITELE ZA POLOŽKU</t>
        </r>
        <r>
          <rPr>
            <sz val="8"/>
            <color indexed="81"/>
            <rFont val="Tahoma"/>
            <family val="2"/>
            <charset val="238"/>
          </rPr>
          <t xml:space="preserve">
</t>
        </r>
      </text>
    </comment>
    <comment ref="G72" authorId="0" shapeId="0" xr:uid="{49565865-F0B5-4C1D-BE8D-38CCF9DF6481}">
      <text>
        <r>
          <rPr>
            <b/>
            <sz val="8"/>
            <color indexed="81"/>
            <rFont val="Tahoma"/>
            <family val="2"/>
            <charset val="238"/>
          </rPr>
          <t>VLOŽ JEDNOTKOVOU CENU ZHOTOVITELE ZA POLOŽKU</t>
        </r>
        <r>
          <rPr>
            <sz val="8"/>
            <color indexed="81"/>
            <rFont val="Tahoma"/>
            <family val="2"/>
            <charset val="238"/>
          </rPr>
          <t xml:space="preserve">
</t>
        </r>
      </text>
    </comment>
    <comment ref="G75" authorId="0" shapeId="0" xr:uid="{9F9F8658-F0D3-4FBE-9EE0-FFB3798F813C}">
      <text>
        <r>
          <rPr>
            <b/>
            <sz val="8"/>
            <color indexed="81"/>
            <rFont val="Tahoma"/>
            <family val="2"/>
            <charset val="238"/>
          </rPr>
          <t>VLOŽ JEDNOTKOVOU CENU ZHOTOVITELE ZA POLOŽKU</t>
        </r>
        <r>
          <rPr>
            <sz val="8"/>
            <color indexed="81"/>
            <rFont val="Tahoma"/>
            <family val="2"/>
            <charset val="238"/>
          </rPr>
          <t xml:space="preserve">
</t>
        </r>
      </text>
    </comment>
    <comment ref="G78" authorId="0" shapeId="0" xr:uid="{B67E516C-6A3B-481B-8DC8-E5FFE29C49DB}">
      <text>
        <r>
          <rPr>
            <b/>
            <sz val="8"/>
            <color indexed="81"/>
            <rFont val="Tahoma"/>
            <family val="2"/>
            <charset val="238"/>
          </rPr>
          <t>VLOŽ JEDNOTKOVOU CENU ZHOTOVITELE ZA POLOŽKU</t>
        </r>
        <r>
          <rPr>
            <sz val="8"/>
            <color indexed="81"/>
            <rFont val="Tahoma"/>
            <family val="2"/>
            <charset val="238"/>
          </rPr>
          <t xml:space="preserve">
</t>
        </r>
      </text>
    </comment>
    <comment ref="G81" authorId="0" shapeId="0" xr:uid="{5523AAE3-A9AF-4F9B-AAE6-7AEB2FF75D13}">
      <text>
        <r>
          <rPr>
            <b/>
            <sz val="8"/>
            <color indexed="81"/>
            <rFont val="Tahoma"/>
            <family val="2"/>
            <charset val="238"/>
          </rPr>
          <t>VLOŽ JEDNOTKOVOU CENU ZHOTOVITELE ZA POLOŽKU</t>
        </r>
        <r>
          <rPr>
            <sz val="8"/>
            <color indexed="81"/>
            <rFont val="Tahoma"/>
            <family val="2"/>
            <charset val="238"/>
          </rPr>
          <t xml:space="preserve">
</t>
        </r>
      </text>
    </comment>
    <comment ref="G82" authorId="0" shapeId="0" xr:uid="{36DD3E8E-08D6-4BBF-9561-25EA26A54623}">
      <text>
        <r>
          <rPr>
            <b/>
            <sz val="8"/>
            <color indexed="81"/>
            <rFont val="Tahoma"/>
            <family val="2"/>
            <charset val="238"/>
          </rPr>
          <t>VLOŽ JEDNOTKOVOU CENU ZHOTOVITELE ZA POLOŽKU</t>
        </r>
        <r>
          <rPr>
            <sz val="8"/>
            <color indexed="81"/>
            <rFont val="Tahoma"/>
            <family val="2"/>
            <charset val="238"/>
          </rPr>
          <t xml:space="preserve">
</t>
        </r>
      </text>
    </comment>
    <comment ref="G84" authorId="0" shapeId="0" xr:uid="{940D1749-CA48-4F9C-BE62-63B5B9BAEEA0}">
      <text>
        <r>
          <rPr>
            <b/>
            <sz val="8"/>
            <color indexed="81"/>
            <rFont val="Tahoma"/>
            <family val="2"/>
            <charset val="238"/>
          </rPr>
          <t>VLOŽ JEDNOTKOVOU CENU ZHOTOVITELE ZA POLOŽKU</t>
        </r>
        <r>
          <rPr>
            <sz val="8"/>
            <color indexed="81"/>
            <rFont val="Tahoma"/>
            <family val="2"/>
            <charset val="238"/>
          </rPr>
          <t xml:space="preserve">
</t>
        </r>
      </text>
    </comment>
    <comment ref="G87" authorId="0" shapeId="0" xr:uid="{1B5502D7-4317-45D1-8DDB-C89C290CC0B2}">
      <text>
        <r>
          <rPr>
            <b/>
            <sz val="8"/>
            <color indexed="81"/>
            <rFont val="Tahoma"/>
            <family val="2"/>
            <charset val="238"/>
          </rPr>
          <t>VLOŽ JEDNOTKOVOU CENU ZHOTOVITELE ZA POLOŽKU</t>
        </r>
        <r>
          <rPr>
            <sz val="8"/>
            <color indexed="81"/>
            <rFont val="Tahoma"/>
            <family val="2"/>
            <charset val="238"/>
          </rPr>
          <t xml:space="preserve">
</t>
        </r>
      </text>
    </comment>
    <comment ref="G88" authorId="0" shapeId="0" xr:uid="{3FAA8CF8-EB45-48C6-A94B-D20AECF40383}">
      <text>
        <r>
          <rPr>
            <b/>
            <sz val="8"/>
            <color indexed="81"/>
            <rFont val="Tahoma"/>
            <family val="2"/>
            <charset val="238"/>
          </rPr>
          <t>VLOŽ JEDNOTKOVOU CENU ZHOTOVITELE ZA POLOŽKU</t>
        </r>
        <r>
          <rPr>
            <sz val="8"/>
            <color indexed="81"/>
            <rFont val="Tahoma"/>
            <family val="2"/>
            <charset val="238"/>
          </rPr>
          <t xml:space="preserve">
</t>
        </r>
      </text>
    </comment>
    <comment ref="G90" authorId="0" shapeId="0" xr:uid="{C41798F9-03E7-4041-B43D-E1D12864F66E}">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5A3527AA-E1FF-4706-A113-F29761B62611}">
      <text>
        <r>
          <rPr>
            <b/>
            <sz val="8"/>
            <color indexed="81"/>
            <rFont val="Tahoma"/>
            <family val="2"/>
            <charset val="238"/>
          </rPr>
          <t>VLOŽ JEDNOTKOVOU CENU ZHOTOVITELE ZA POLOŽKU</t>
        </r>
        <r>
          <rPr>
            <sz val="8"/>
            <color indexed="81"/>
            <rFont val="Tahoma"/>
            <family val="2"/>
            <charset val="238"/>
          </rPr>
          <t xml:space="preserve">
</t>
        </r>
      </text>
    </comment>
    <comment ref="G16" authorId="0" shapeId="0" xr:uid="{69439558-5275-4652-991F-EAA8CF1F158E}">
      <text>
        <r>
          <rPr>
            <b/>
            <sz val="8"/>
            <color indexed="81"/>
            <rFont val="Tahoma"/>
            <family val="2"/>
            <charset val="238"/>
          </rPr>
          <t>VLOŽ JEDNOTKOVOU CENU ZHOTOVITELE ZA POLOŽKU</t>
        </r>
        <r>
          <rPr>
            <sz val="8"/>
            <color indexed="81"/>
            <rFont val="Tahoma"/>
            <family val="2"/>
            <charset val="238"/>
          </rPr>
          <t xml:space="preserve">
</t>
        </r>
      </text>
    </comment>
    <comment ref="G19" authorId="0" shapeId="0" xr:uid="{920D78AF-B35F-49D0-B02F-382ECAF93D68}">
      <text>
        <r>
          <rPr>
            <b/>
            <sz val="8"/>
            <color indexed="81"/>
            <rFont val="Tahoma"/>
            <family val="2"/>
            <charset val="238"/>
          </rPr>
          <t>VLOŽ JEDNOTKOVOU CENU ZHOTOVITELE ZA POLOŽKU</t>
        </r>
        <r>
          <rPr>
            <sz val="8"/>
            <color indexed="81"/>
            <rFont val="Tahoma"/>
            <family val="2"/>
            <charset val="238"/>
          </rPr>
          <t xml:space="preserve">
</t>
        </r>
      </text>
    </comment>
    <comment ref="G21" authorId="0" shapeId="0" xr:uid="{29C3343C-35C8-4685-9FEF-8A56981A7948}">
      <text>
        <r>
          <rPr>
            <b/>
            <sz val="8"/>
            <color indexed="81"/>
            <rFont val="Tahoma"/>
            <family val="2"/>
            <charset val="238"/>
          </rPr>
          <t>VLOŽ JEDNOTKOVOU CENU ZHOTOVITELE ZA POLOŽKU</t>
        </r>
        <r>
          <rPr>
            <sz val="8"/>
            <color indexed="81"/>
            <rFont val="Tahoma"/>
            <family val="2"/>
            <charset val="238"/>
          </rPr>
          <t xml:space="preserve">
</t>
        </r>
      </text>
    </comment>
    <comment ref="G23" authorId="0" shapeId="0" xr:uid="{99C7AEA8-C0AE-4EAC-AE03-1AB939F6ADC3}">
      <text>
        <r>
          <rPr>
            <b/>
            <sz val="8"/>
            <color indexed="81"/>
            <rFont val="Tahoma"/>
            <family val="2"/>
            <charset val="238"/>
          </rPr>
          <t>VLOŽ JEDNOTKOVOU CENU ZHOTOVITELE ZA POLOŽKU</t>
        </r>
        <r>
          <rPr>
            <sz val="8"/>
            <color indexed="81"/>
            <rFont val="Tahoma"/>
            <family val="2"/>
            <charset val="238"/>
          </rPr>
          <t xml:space="preserve">
</t>
        </r>
      </text>
    </comment>
    <comment ref="G25" authorId="0" shapeId="0" xr:uid="{3E5ED72B-34E6-4FD6-A1D2-42A3DC5E1892}">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35F1E10A-B38E-47FD-B75B-F6B34F3A5829}">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578D0A67-220A-490F-ADE0-3D9BE2CF5AFA}">
      <text>
        <r>
          <rPr>
            <b/>
            <sz val="8"/>
            <color indexed="81"/>
            <rFont val="Tahoma"/>
            <family val="2"/>
            <charset val="238"/>
          </rPr>
          <t>VLOŽ JEDNOTKOVOU CENU ZHOTOVITELE ZA POLOŽKU</t>
        </r>
        <r>
          <rPr>
            <sz val="8"/>
            <color indexed="81"/>
            <rFont val="Tahoma"/>
            <family val="2"/>
            <charset val="238"/>
          </rPr>
          <t xml:space="preserve">
</t>
        </r>
      </text>
    </comment>
    <comment ref="G31" authorId="0" shapeId="0" xr:uid="{AAAF976E-61DE-4E15-9528-5DD9DCE415F9}">
      <text>
        <r>
          <rPr>
            <b/>
            <sz val="8"/>
            <color indexed="81"/>
            <rFont val="Tahoma"/>
            <family val="2"/>
            <charset val="238"/>
          </rPr>
          <t>VLOŽ JEDNOTKOVOU CENU ZHOTOVITELE ZA POLOŽKU</t>
        </r>
        <r>
          <rPr>
            <sz val="8"/>
            <color indexed="81"/>
            <rFont val="Tahoma"/>
            <family val="2"/>
            <charset val="238"/>
          </rPr>
          <t xml:space="preserve">
</t>
        </r>
      </text>
    </comment>
    <comment ref="G34" authorId="0" shapeId="0" xr:uid="{81773B63-9B3F-4AF1-8D7B-8E7CE6352C6F}">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0B5C087C-C657-4C0D-8A1B-040B88A861B4}">
      <text>
        <r>
          <rPr>
            <b/>
            <sz val="8"/>
            <color indexed="81"/>
            <rFont val="Tahoma"/>
            <family val="2"/>
            <charset val="238"/>
          </rPr>
          <t>VLOŽ JEDNOTKOVOU CENU ZHOTOVITELE ZA POLOŽKU</t>
        </r>
        <r>
          <rPr>
            <sz val="8"/>
            <color indexed="81"/>
            <rFont val="Tahoma"/>
            <family val="2"/>
            <charset val="238"/>
          </rPr>
          <t xml:space="preserve">
</t>
        </r>
      </text>
    </comment>
    <comment ref="G38" authorId="0" shapeId="0" xr:uid="{FB18010E-3E45-49B7-B976-20436D9A8007}">
      <text>
        <r>
          <rPr>
            <b/>
            <sz val="8"/>
            <color indexed="81"/>
            <rFont val="Tahoma"/>
            <family val="2"/>
            <charset val="238"/>
          </rPr>
          <t>VLOŽ JEDNOTKOVOU CENU ZHOTOVITELE ZA POLOŽKU</t>
        </r>
        <r>
          <rPr>
            <sz val="8"/>
            <color indexed="81"/>
            <rFont val="Tahoma"/>
            <family val="2"/>
            <charset val="238"/>
          </rPr>
          <t xml:space="preserve">
</t>
        </r>
      </text>
    </comment>
    <comment ref="G40" authorId="0" shapeId="0" xr:uid="{97D41C22-3B6C-4A12-8440-764C8F3B6574}">
      <text>
        <r>
          <rPr>
            <b/>
            <sz val="8"/>
            <color indexed="81"/>
            <rFont val="Tahoma"/>
            <family val="2"/>
            <charset val="238"/>
          </rPr>
          <t>VLOŽ JEDNOTKOVOU CENU ZHOTOVITELE ZA POLOŽKU</t>
        </r>
        <r>
          <rPr>
            <sz val="8"/>
            <color indexed="81"/>
            <rFont val="Tahoma"/>
            <family val="2"/>
            <charset val="238"/>
          </rPr>
          <t xml:space="preserve">
</t>
        </r>
      </text>
    </comment>
    <comment ref="G42" authorId="0" shapeId="0" xr:uid="{2CB8FDA4-D617-4A96-83AF-C192BE4AA979}">
      <text>
        <r>
          <rPr>
            <b/>
            <sz val="8"/>
            <color indexed="81"/>
            <rFont val="Tahoma"/>
            <family val="2"/>
            <charset val="238"/>
          </rPr>
          <t>VLOŽ JEDNOTKOVOU CENU ZHOTOVITELE ZA POLOŽKU</t>
        </r>
        <r>
          <rPr>
            <sz val="8"/>
            <color indexed="81"/>
            <rFont val="Tahoma"/>
            <family val="2"/>
            <charset val="238"/>
          </rPr>
          <t xml:space="preserve">
</t>
        </r>
      </text>
    </comment>
    <comment ref="G44" authorId="0" shapeId="0" xr:uid="{6C1C7208-F198-446C-BB38-00237EEE85CC}">
      <text>
        <r>
          <rPr>
            <b/>
            <sz val="8"/>
            <color indexed="81"/>
            <rFont val="Tahoma"/>
            <family val="2"/>
            <charset val="238"/>
          </rPr>
          <t>VLOŽ JEDNOTKOVOU CENU ZHOTOVITELE ZA POLOŽKU</t>
        </r>
        <r>
          <rPr>
            <sz val="8"/>
            <color indexed="81"/>
            <rFont val="Tahoma"/>
            <family val="2"/>
            <charset val="238"/>
          </rPr>
          <t xml:space="preserve">
</t>
        </r>
      </text>
    </comment>
    <comment ref="G46" authorId="0" shapeId="0" xr:uid="{09118C96-9096-4235-AEB0-C61E53AC1F8F}">
      <text>
        <r>
          <rPr>
            <b/>
            <sz val="8"/>
            <color indexed="81"/>
            <rFont val="Tahoma"/>
            <family val="2"/>
            <charset val="238"/>
          </rPr>
          <t>VLOŽ JEDNOTKOVOU CENU ZHOTOVITELE ZA POLOŽKU</t>
        </r>
        <r>
          <rPr>
            <sz val="8"/>
            <color indexed="81"/>
            <rFont val="Tahoma"/>
            <family val="2"/>
            <charset val="238"/>
          </rPr>
          <t xml:space="preserve">
</t>
        </r>
      </text>
    </comment>
    <comment ref="G49" authorId="0" shapeId="0" xr:uid="{B39E2EBA-65F0-4F10-BB48-A3F940C848E4}">
      <text>
        <r>
          <rPr>
            <b/>
            <sz val="8"/>
            <color indexed="81"/>
            <rFont val="Tahoma"/>
            <family val="2"/>
            <charset val="238"/>
          </rPr>
          <t>VLOŽ JEDNOTKOVOU CENU ZHOTOVITELE ZA POLOŽKU</t>
        </r>
        <r>
          <rPr>
            <sz val="8"/>
            <color indexed="81"/>
            <rFont val="Tahoma"/>
            <family val="2"/>
            <charset val="238"/>
          </rPr>
          <t xml:space="preserve">
</t>
        </r>
      </text>
    </comment>
    <comment ref="G51" authorId="0" shapeId="0" xr:uid="{782CB7A2-214A-479F-8E69-22A81FEA703A}">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B32B161F-339A-45F6-A3A8-25527EF5009B}">
      <text>
        <r>
          <rPr>
            <b/>
            <sz val="8"/>
            <color indexed="81"/>
            <rFont val="Tahoma"/>
            <family val="2"/>
            <charset val="238"/>
          </rPr>
          <t>VLOŽ JEDNOTKOVOU CENU ZHOTOVITELE ZA POLOŽKU</t>
        </r>
        <r>
          <rPr>
            <sz val="8"/>
            <color indexed="81"/>
            <rFont val="Tahoma"/>
            <family val="2"/>
            <charset val="238"/>
          </rPr>
          <t xml:space="preserve">
</t>
        </r>
      </text>
    </comment>
    <comment ref="G56" authorId="0" shapeId="0" xr:uid="{8A0E5DCF-EFDF-4A06-A9CB-C5F0AC9C2E64}">
      <text>
        <r>
          <rPr>
            <b/>
            <sz val="8"/>
            <color indexed="81"/>
            <rFont val="Tahoma"/>
            <family val="2"/>
            <charset val="238"/>
          </rPr>
          <t>VLOŽ JEDNOTKOVOU CENU ZHOTOVITELE ZA POLOŽKU</t>
        </r>
        <r>
          <rPr>
            <sz val="8"/>
            <color indexed="81"/>
            <rFont val="Tahoma"/>
            <family val="2"/>
            <charset val="238"/>
          </rPr>
          <t xml:space="preserve">
</t>
        </r>
      </text>
    </comment>
    <comment ref="G58" authorId="0" shapeId="0" xr:uid="{B74D7324-0B26-4850-82F1-3F97345BC337}">
      <text>
        <r>
          <rPr>
            <b/>
            <sz val="8"/>
            <color indexed="81"/>
            <rFont val="Tahoma"/>
            <family val="2"/>
            <charset val="238"/>
          </rPr>
          <t>VLOŽ JEDNOTKOVOU CENU ZHOTOVITELE ZA POLOŽKU</t>
        </r>
        <r>
          <rPr>
            <sz val="8"/>
            <color indexed="81"/>
            <rFont val="Tahoma"/>
            <family val="2"/>
            <charset val="238"/>
          </rPr>
          <t xml:space="preserve">
</t>
        </r>
      </text>
    </comment>
    <comment ref="G60" authorId="0" shapeId="0" xr:uid="{C4C98E8D-170B-4F86-8C6A-328B12551924}">
      <text>
        <r>
          <rPr>
            <b/>
            <sz val="8"/>
            <color indexed="81"/>
            <rFont val="Tahoma"/>
            <family val="2"/>
            <charset val="238"/>
          </rPr>
          <t>VLOŽ JEDNOTKOVOU CENU ZHOTOVITELE ZA POLOŽKU</t>
        </r>
        <r>
          <rPr>
            <sz val="8"/>
            <color indexed="81"/>
            <rFont val="Tahoma"/>
            <family val="2"/>
            <charset val="238"/>
          </rPr>
          <t xml:space="preserve">
</t>
        </r>
      </text>
    </comment>
    <comment ref="G62" authorId="0" shapeId="0" xr:uid="{2348DC77-304C-44FB-BC7E-00EDD643AA1E}">
      <text>
        <r>
          <rPr>
            <b/>
            <sz val="8"/>
            <color indexed="81"/>
            <rFont val="Tahoma"/>
            <family val="2"/>
            <charset val="238"/>
          </rPr>
          <t>VLOŽ JEDNOTKOVOU CENU ZHOTOVITELE ZA POLOŽKU</t>
        </r>
        <r>
          <rPr>
            <sz val="8"/>
            <color indexed="81"/>
            <rFont val="Tahoma"/>
            <family val="2"/>
            <charset val="238"/>
          </rPr>
          <t xml:space="preserve">
</t>
        </r>
      </text>
    </comment>
    <comment ref="G64" authorId="0" shapeId="0" xr:uid="{4C7E4CED-9152-4B16-95B3-01A2A8324680}">
      <text>
        <r>
          <rPr>
            <b/>
            <sz val="8"/>
            <color indexed="81"/>
            <rFont val="Tahoma"/>
            <family val="2"/>
            <charset val="238"/>
          </rPr>
          <t>VLOŽ JEDNOTKOVOU CENU ZHOTOVITELE ZA POLOŽKU</t>
        </r>
        <r>
          <rPr>
            <sz val="8"/>
            <color indexed="81"/>
            <rFont val="Tahoma"/>
            <family val="2"/>
            <charset val="238"/>
          </rPr>
          <t xml:space="preserve">
</t>
        </r>
      </text>
    </comment>
    <comment ref="G67" authorId="0" shapeId="0" xr:uid="{5130956A-358E-4C27-A282-5A1ACF11EED5}">
      <text>
        <r>
          <rPr>
            <b/>
            <sz val="8"/>
            <color indexed="81"/>
            <rFont val="Tahoma"/>
            <family val="2"/>
            <charset val="238"/>
          </rPr>
          <t>VLOŽ JEDNOTKOVOU CENU ZHOTOVITELE ZA POLOŽKU</t>
        </r>
        <r>
          <rPr>
            <sz val="8"/>
            <color indexed="81"/>
            <rFont val="Tahoma"/>
            <family val="2"/>
            <charset val="238"/>
          </rPr>
          <t xml:space="preserve">
</t>
        </r>
      </text>
    </comment>
    <comment ref="G69" authorId="0" shapeId="0" xr:uid="{16171B63-EACF-4358-99D0-1C9439781EA3}">
      <text>
        <r>
          <rPr>
            <b/>
            <sz val="8"/>
            <color indexed="81"/>
            <rFont val="Tahoma"/>
            <family val="2"/>
            <charset val="238"/>
          </rPr>
          <t>VLOŽ JEDNOTKOVOU CENU ZHOTOVITELE ZA POLOŽKU</t>
        </r>
        <r>
          <rPr>
            <sz val="8"/>
            <color indexed="81"/>
            <rFont val="Tahoma"/>
            <family val="2"/>
            <charset val="238"/>
          </rPr>
          <t xml:space="preserve">
</t>
        </r>
      </text>
    </comment>
    <comment ref="G70" authorId="0" shapeId="0" xr:uid="{697C210C-3563-4401-A882-AC5EE4D41A8A}">
      <text>
        <r>
          <rPr>
            <b/>
            <sz val="8"/>
            <color indexed="81"/>
            <rFont val="Tahoma"/>
            <family val="2"/>
            <charset val="238"/>
          </rPr>
          <t>VLOŽ JEDNOTKOVOU CENU ZHOTOVITELE ZA POLOŽKU</t>
        </r>
        <r>
          <rPr>
            <sz val="8"/>
            <color indexed="81"/>
            <rFont val="Tahoma"/>
            <family val="2"/>
            <charset val="238"/>
          </rPr>
          <t xml:space="preserve">
</t>
        </r>
      </text>
    </comment>
    <comment ref="G73" authorId="0" shapeId="0" xr:uid="{305D0787-2297-4561-B005-19D5E3ADBE82}">
      <text>
        <r>
          <rPr>
            <b/>
            <sz val="8"/>
            <color indexed="81"/>
            <rFont val="Tahoma"/>
            <family val="2"/>
            <charset val="238"/>
          </rPr>
          <t>VLOŽ JEDNOTKOVOU CENU ZHOTOVITELE ZA POLOŽKU</t>
        </r>
        <r>
          <rPr>
            <sz val="8"/>
            <color indexed="81"/>
            <rFont val="Tahoma"/>
            <family val="2"/>
            <charset val="238"/>
          </rPr>
          <t xml:space="preserve">
</t>
        </r>
      </text>
    </comment>
    <comment ref="G75" authorId="0" shapeId="0" xr:uid="{05B7E6FB-6A94-47EC-AD37-A9390B3637ED}">
      <text>
        <r>
          <rPr>
            <b/>
            <sz val="8"/>
            <color indexed="81"/>
            <rFont val="Tahoma"/>
            <family val="2"/>
            <charset val="238"/>
          </rPr>
          <t>VLOŽ JEDNOTKOVOU CENU ZHOTOVITELE ZA POLOŽKU</t>
        </r>
        <r>
          <rPr>
            <sz val="8"/>
            <color indexed="81"/>
            <rFont val="Tahoma"/>
            <family val="2"/>
            <charset val="238"/>
          </rPr>
          <t xml:space="preserve">
</t>
        </r>
      </text>
    </comment>
    <comment ref="G78" authorId="0" shapeId="0" xr:uid="{C34CEA01-D0D5-4B26-A430-A1478DF23A9A}">
      <text>
        <r>
          <rPr>
            <b/>
            <sz val="8"/>
            <color indexed="81"/>
            <rFont val="Tahoma"/>
            <family val="2"/>
            <charset val="238"/>
          </rPr>
          <t>VLOŽ JEDNOTKOVOU CENU ZHOTOVITELE ZA POLOŽKU</t>
        </r>
        <r>
          <rPr>
            <sz val="8"/>
            <color indexed="81"/>
            <rFont val="Tahoma"/>
            <family val="2"/>
            <charset val="238"/>
          </rPr>
          <t xml:space="preserve">
</t>
        </r>
      </text>
    </comment>
    <comment ref="G80" authorId="0" shapeId="0" xr:uid="{A8B6C881-927F-46F5-AEB6-5F4BF9BBEF2D}">
      <text>
        <r>
          <rPr>
            <b/>
            <sz val="8"/>
            <color indexed="81"/>
            <rFont val="Tahoma"/>
            <family val="2"/>
            <charset val="238"/>
          </rPr>
          <t>VLOŽ JEDNOTKOVOU CENU ZHOTOVITELE ZA POLOŽKU</t>
        </r>
        <r>
          <rPr>
            <sz val="8"/>
            <color indexed="81"/>
            <rFont val="Tahoma"/>
            <family val="2"/>
            <charset val="238"/>
          </rPr>
          <t xml:space="preserve">
</t>
        </r>
      </text>
    </comment>
    <comment ref="G82" authorId="0" shapeId="0" xr:uid="{FBA010EC-CCA9-4549-ADA1-2898719E893E}">
      <text>
        <r>
          <rPr>
            <b/>
            <sz val="8"/>
            <color indexed="81"/>
            <rFont val="Tahoma"/>
            <family val="2"/>
            <charset val="238"/>
          </rPr>
          <t>VLOŽ JEDNOTKOVOU CENU ZHOTOVITELE ZA POLOŽKU</t>
        </r>
        <r>
          <rPr>
            <sz val="8"/>
            <color indexed="81"/>
            <rFont val="Tahoma"/>
            <family val="2"/>
            <charset val="238"/>
          </rPr>
          <t xml:space="preserve">
</t>
        </r>
      </text>
    </comment>
    <comment ref="G84" authorId="0" shapeId="0" xr:uid="{0D9EA4F2-C645-4BCA-B22A-C147A5642C31}">
      <text>
        <r>
          <rPr>
            <b/>
            <sz val="8"/>
            <color indexed="81"/>
            <rFont val="Tahoma"/>
            <family val="2"/>
            <charset val="238"/>
          </rPr>
          <t>VLOŽ JEDNOTKOVOU CENU ZHOTOVITELE ZA POLOŽKU</t>
        </r>
        <r>
          <rPr>
            <sz val="8"/>
            <color indexed="81"/>
            <rFont val="Tahoma"/>
            <family val="2"/>
            <charset val="238"/>
          </rPr>
          <t xml:space="preserve">
</t>
        </r>
      </text>
    </comment>
    <comment ref="G87" authorId="0" shapeId="0" xr:uid="{7C550090-6E08-4018-8AC4-78D57C3DECBF}">
      <text>
        <r>
          <rPr>
            <b/>
            <sz val="8"/>
            <color indexed="81"/>
            <rFont val="Tahoma"/>
            <family val="2"/>
            <charset val="238"/>
          </rPr>
          <t>VLOŽ JEDNOTKOVOU CENU ZHOTOVITELE ZA POLOŽKU</t>
        </r>
        <r>
          <rPr>
            <sz val="8"/>
            <color indexed="81"/>
            <rFont val="Tahoma"/>
            <family val="2"/>
            <charset val="238"/>
          </rPr>
          <t xml:space="preserve">
</t>
        </r>
      </text>
    </comment>
    <comment ref="G90" authorId="0" shapeId="0" xr:uid="{56D87EA4-68CB-4407-8729-4607952C4390}">
      <text>
        <r>
          <rPr>
            <b/>
            <sz val="8"/>
            <color indexed="81"/>
            <rFont val="Tahoma"/>
            <family val="2"/>
            <charset val="238"/>
          </rPr>
          <t>VLOŽ JEDNOTKOVOU CENU ZHOTOVITELE ZA POLOŽKU</t>
        </r>
        <r>
          <rPr>
            <sz val="8"/>
            <color indexed="81"/>
            <rFont val="Tahoma"/>
            <family val="2"/>
            <charset val="238"/>
          </rPr>
          <t xml:space="preserve">
</t>
        </r>
      </text>
    </comment>
    <comment ref="G92" authorId="0" shapeId="0" xr:uid="{04294619-D78F-4DD4-A6E4-103CAF9AE40B}">
      <text>
        <r>
          <rPr>
            <b/>
            <sz val="8"/>
            <color indexed="81"/>
            <rFont val="Tahoma"/>
            <family val="2"/>
            <charset val="238"/>
          </rPr>
          <t>VLOŽ JEDNOTKOVOU CENU ZHOTOVITELE ZA POLOŽKU</t>
        </r>
        <r>
          <rPr>
            <sz val="8"/>
            <color indexed="81"/>
            <rFont val="Tahoma"/>
            <family val="2"/>
            <charset val="238"/>
          </rPr>
          <t xml:space="preserve">
</t>
        </r>
      </text>
    </comment>
    <comment ref="G94" authorId="0" shapeId="0" xr:uid="{511F26FD-A07B-4992-BDDB-981D54107781}">
      <text>
        <r>
          <rPr>
            <b/>
            <sz val="8"/>
            <color indexed="81"/>
            <rFont val="Tahoma"/>
            <family val="2"/>
            <charset val="238"/>
          </rPr>
          <t>VLOŽ JEDNOTKOVOU CENU ZHOTOVITELE ZA POLOŽKU</t>
        </r>
        <r>
          <rPr>
            <sz val="8"/>
            <color indexed="81"/>
            <rFont val="Tahoma"/>
            <family val="2"/>
            <charset val="238"/>
          </rPr>
          <t xml:space="preserve">
</t>
        </r>
      </text>
    </comment>
    <comment ref="G96" authorId="0" shapeId="0" xr:uid="{7E86334A-BE3E-41C7-B68B-4DB900671F5F}">
      <text>
        <r>
          <rPr>
            <b/>
            <sz val="8"/>
            <color indexed="81"/>
            <rFont val="Tahoma"/>
            <family val="2"/>
            <charset val="238"/>
          </rPr>
          <t>VLOŽ JEDNOTKOVOU CENU ZHOTOVITELE ZA POLOŽKU</t>
        </r>
        <r>
          <rPr>
            <sz val="8"/>
            <color indexed="81"/>
            <rFont val="Tahoma"/>
            <family val="2"/>
            <charset val="238"/>
          </rPr>
          <t xml:space="preserve">
</t>
        </r>
      </text>
    </comment>
    <comment ref="G98" authorId="0" shapeId="0" xr:uid="{8F077012-24B6-4C67-A4B6-A3851253E6FC}">
      <text>
        <r>
          <rPr>
            <b/>
            <sz val="8"/>
            <color indexed="81"/>
            <rFont val="Tahoma"/>
            <family val="2"/>
            <charset val="238"/>
          </rPr>
          <t>VLOŽ JEDNOTKOVOU CENU ZHOTOVITELE ZA POLOŽKU</t>
        </r>
        <r>
          <rPr>
            <sz val="8"/>
            <color indexed="81"/>
            <rFont val="Tahoma"/>
            <family val="2"/>
            <charset val="238"/>
          </rPr>
          <t xml:space="preserve">
</t>
        </r>
      </text>
    </comment>
    <comment ref="G100" authorId="0" shapeId="0" xr:uid="{3DBE6F7A-3AA2-44AF-8B4D-EE43E1BFB71C}">
      <text>
        <r>
          <rPr>
            <b/>
            <sz val="8"/>
            <color indexed="81"/>
            <rFont val="Tahoma"/>
            <family val="2"/>
            <charset val="238"/>
          </rPr>
          <t>VLOŽ JEDNOTKOVOU CENU ZHOTOVITELE ZA POLOŽKU</t>
        </r>
        <r>
          <rPr>
            <sz val="8"/>
            <color indexed="81"/>
            <rFont val="Tahoma"/>
            <family val="2"/>
            <charset val="238"/>
          </rPr>
          <t xml:space="preserve">
</t>
        </r>
      </text>
    </comment>
    <comment ref="G102" authorId="0" shapeId="0" xr:uid="{94098EAD-CB75-4EF1-9BE3-3A4574048E1C}">
      <text>
        <r>
          <rPr>
            <b/>
            <sz val="8"/>
            <color indexed="81"/>
            <rFont val="Tahoma"/>
            <family val="2"/>
            <charset val="238"/>
          </rPr>
          <t>VLOŽ JEDNOTKOVOU CENU ZHOTOVITELE ZA POLOŽKU</t>
        </r>
        <r>
          <rPr>
            <sz val="8"/>
            <color indexed="81"/>
            <rFont val="Tahoma"/>
            <family val="2"/>
            <charset val="238"/>
          </rPr>
          <t xml:space="preserve">
</t>
        </r>
      </text>
    </comment>
    <comment ref="G104" authorId="0" shapeId="0" xr:uid="{C33418A7-108A-41D1-85D7-1B0C25BC80FE}">
      <text>
        <r>
          <rPr>
            <b/>
            <sz val="8"/>
            <color indexed="81"/>
            <rFont val="Tahoma"/>
            <family val="2"/>
            <charset val="238"/>
          </rPr>
          <t>VLOŽ JEDNOTKOVOU CENU ZHOTOVITELE ZA POLOŽKU</t>
        </r>
        <r>
          <rPr>
            <sz val="8"/>
            <color indexed="81"/>
            <rFont val="Tahoma"/>
            <family val="2"/>
            <charset val="238"/>
          </rPr>
          <t xml:space="preserve">
</t>
        </r>
      </text>
    </comment>
    <comment ref="G107" authorId="0" shapeId="0" xr:uid="{FA0F92B1-C83E-4D44-9742-AC85E1C3B80B}">
      <text>
        <r>
          <rPr>
            <b/>
            <sz val="8"/>
            <color indexed="81"/>
            <rFont val="Tahoma"/>
            <family val="2"/>
            <charset val="238"/>
          </rPr>
          <t>VLOŽ JEDNOTKOVOU CENU ZHOTOVITELE ZA POLOŽKU</t>
        </r>
        <r>
          <rPr>
            <sz val="8"/>
            <color indexed="81"/>
            <rFont val="Tahoma"/>
            <family val="2"/>
            <charset val="238"/>
          </rPr>
          <t xml:space="preserve">
</t>
        </r>
      </text>
    </comment>
    <comment ref="G109" authorId="0" shapeId="0" xr:uid="{23465039-761A-40A0-8DC7-82032B389CC9}">
      <text>
        <r>
          <rPr>
            <b/>
            <sz val="8"/>
            <color indexed="81"/>
            <rFont val="Tahoma"/>
            <family val="2"/>
            <charset val="238"/>
          </rPr>
          <t>VLOŽ JEDNOTKOVOU CENU ZHOTOVITELE ZA POLOŽKU</t>
        </r>
        <r>
          <rPr>
            <sz val="8"/>
            <color indexed="81"/>
            <rFont val="Tahoma"/>
            <family val="2"/>
            <charset val="238"/>
          </rPr>
          <t xml:space="preserve">
</t>
        </r>
      </text>
    </comment>
    <comment ref="G111" authorId="0" shapeId="0" xr:uid="{B192468D-B1B0-4AB5-A5E7-8CFECBFCFF7B}">
      <text>
        <r>
          <rPr>
            <b/>
            <sz val="8"/>
            <color indexed="81"/>
            <rFont val="Tahoma"/>
            <family val="2"/>
            <charset val="238"/>
          </rPr>
          <t>VLOŽ JEDNOTKOVOU CENU ZHOTOVITELE ZA POLOŽKU</t>
        </r>
        <r>
          <rPr>
            <sz val="8"/>
            <color indexed="81"/>
            <rFont val="Tahoma"/>
            <family val="2"/>
            <charset val="238"/>
          </rPr>
          <t xml:space="preserve">
</t>
        </r>
      </text>
    </comment>
    <comment ref="G113" authorId="0" shapeId="0" xr:uid="{0AC1C1DD-DE7F-4572-AD1B-50F95B1850C8}">
      <text>
        <r>
          <rPr>
            <b/>
            <sz val="8"/>
            <color indexed="81"/>
            <rFont val="Tahoma"/>
            <family val="2"/>
            <charset val="238"/>
          </rPr>
          <t>VLOŽ JEDNOTKOVOU CENU ZHOTOVITELE ZA POLOŽKU</t>
        </r>
        <r>
          <rPr>
            <sz val="8"/>
            <color indexed="81"/>
            <rFont val="Tahoma"/>
            <family val="2"/>
            <charset val="238"/>
          </rPr>
          <t xml:space="preserve">
</t>
        </r>
      </text>
    </comment>
    <comment ref="G115" authorId="0" shapeId="0" xr:uid="{7AE7E4D1-B806-4E65-B2DC-74091DFB3184}">
      <text>
        <r>
          <rPr>
            <b/>
            <sz val="8"/>
            <color indexed="81"/>
            <rFont val="Tahoma"/>
            <family val="2"/>
            <charset val="238"/>
          </rPr>
          <t>VLOŽ JEDNOTKOVOU CENU ZHOTOVITELE ZA POLOŽKU</t>
        </r>
        <r>
          <rPr>
            <sz val="8"/>
            <color indexed="81"/>
            <rFont val="Tahoma"/>
            <family val="2"/>
            <charset val="238"/>
          </rPr>
          <t xml:space="preserve">
</t>
        </r>
      </text>
    </comment>
    <comment ref="G117" authorId="0" shapeId="0" xr:uid="{3D34EA92-1060-4831-95FC-633D8271A490}">
      <text>
        <r>
          <rPr>
            <b/>
            <sz val="8"/>
            <color indexed="81"/>
            <rFont val="Tahoma"/>
            <family val="2"/>
            <charset val="238"/>
          </rPr>
          <t>VLOŽ JEDNOTKOVOU CENU ZHOTOVITELE ZA POLOŽKU</t>
        </r>
        <r>
          <rPr>
            <sz val="8"/>
            <color indexed="81"/>
            <rFont val="Tahoma"/>
            <family val="2"/>
            <charset val="238"/>
          </rPr>
          <t xml:space="preserve">
</t>
        </r>
      </text>
    </comment>
    <comment ref="G120" authorId="0" shapeId="0" xr:uid="{41B5194A-A9F2-48A0-9ACD-913C1D488F0D}">
      <text>
        <r>
          <rPr>
            <b/>
            <sz val="8"/>
            <color indexed="81"/>
            <rFont val="Tahoma"/>
            <family val="2"/>
            <charset val="238"/>
          </rPr>
          <t>VLOŽ JEDNOTKOVOU CENU ZHOTOVITELE ZA POLOŽKU</t>
        </r>
        <r>
          <rPr>
            <sz val="8"/>
            <color indexed="81"/>
            <rFont val="Tahoma"/>
            <family val="2"/>
            <charset val="238"/>
          </rPr>
          <t xml:space="preserve">
</t>
        </r>
      </text>
    </comment>
    <comment ref="G122" authorId="0" shapeId="0" xr:uid="{E92DD902-E842-4ED1-8AA1-5D66FA89A5D5}">
      <text>
        <r>
          <rPr>
            <b/>
            <sz val="8"/>
            <color indexed="81"/>
            <rFont val="Tahoma"/>
            <family val="2"/>
            <charset val="238"/>
          </rPr>
          <t>VLOŽ JEDNOTKOVOU CENU ZHOTOVITELE ZA POLOŽKU</t>
        </r>
        <r>
          <rPr>
            <sz val="8"/>
            <color indexed="81"/>
            <rFont val="Tahoma"/>
            <family val="2"/>
            <charset val="238"/>
          </rPr>
          <t xml:space="preserve">
</t>
        </r>
      </text>
    </comment>
    <comment ref="G124" authorId="0" shapeId="0" xr:uid="{630F11B8-F074-4CC3-A2F8-48B0904AE9EF}">
      <text>
        <r>
          <rPr>
            <b/>
            <sz val="8"/>
            <color indexed="81"/>
            <rFont val="Tahoma"/>
            <family val="2"/>
            <charset val="238"/>
          </rPr>
          <t>VLOŽ JEDNOTKOVOU CENU ZHOTOVITELE ZA POLOŽKU</t>
        </r>
        <r>
          <rPr>
            <sz val="8"/>
            <color indexed="81"/>
            <rFont val="Tahoma"/>
            <family val="2"/>
            <charset val="238"/>
          </rPr>
          <t xml:space="preserve">
</t>
        </r>
      </text>
    </comment>
    <comment ref="G126" authorId="0" shapeId="0" xr:uid="{0F7435B4-B7FD-447C-8DC3-9B9E29571FE2}">
      <text>
        <r>
          <rPr>
            <b/>
            <sz val="8"/>
            <color indexed="81"/>
            <rFont val="Tahoma"/>
            <family val="2"/>
            <charset val="238"/>
          </rPr>
          <t>VLOŽ JEDNOTKOVOU CENU ZHOTOVITELE ZA POLOŽKU</t>
        </r>
        <r>
          <rPr>
            <sz val="8"/>
            <color indexed="81"/>
            <rFont val="Tahoma"/>
            <family val="2"/>
            <charset val="238"/>
          </rPr>
          <t xml:space="preserve">
</t>
        </r>
      </text>
    </comment>
    <comment ref="G128" authorId="0" shapeId="0" xr:uid="{7FA15837-9F79-4F44-B90A-8C00B76799A9}">
      <text>
        <r>
          <rPr>
            <b/>
            <sz val="8"/>
            <color indexed="81"/>
            <rFont val="Tahoma"/>
            <family val="2"/>
            <charset val="238"/>
          </rPr>
          <t>VLOŽ JEDNOTKOVOU CENU ZHOTOVITELE ZA POLOŽKU</t>
        </r>
        <r>
          <rPr>
            <sz val="8"/>
            <color indexed="81"/>
            <rFont val="Tahoma"/>
            <family val="2"/>
            <charset val="238"/>
          </rPr>
          <t xml:space="preserve">
</t>
        </r>
      </text>
    </comment>
    <comment ref="G130" authorId="0" shapeId="0" xr:uid="{ADC383E9-E0E9-47ED-B975-23609C794816}">
      <text>
        <r>
          <rPr>
            <b/>
            <sz val="8"/>
            <color indexed="81"/>
            <rFont val="Tahoma"/>
            <family val="2"/>
            <charset val="238"/>
          </rPr>
          <t>VLOŽ JEDNOTKOVOU CENU ZHOTOVITELE ZA POLOŽKU</t>
        </r>
        <r>
          <rPr>
            <sz val="8"/>
            <color indexed="81"/>
            <rFont val="Tahoma"/>
            <family val="2"/>
            <charset val="238"/>
          </rPr>
          <t xml:space="preserve">
</t>
        </r>
      </text>
    </comment>
    <comment ref="G132" authorId="0" shapeId="0" xr:uid="{1531C5A8-F803-45A6-BD1C-CC4E1914FCE9}">
      <text>
        <r>
          <rPr>
            <b/>
            <sz val="8"/>
            <color indexed="81"/>
            <rFont val="Tahoma"/>
            <family val="2"/>
            <charset val="238"/>
          </rPr>
          <t>VLOŽ JEDNOTKOVOU CENU ZHOTOVITELE ZA POLOŽKU</t>
        </r>
        <r>
          <rPr>
            <sz val="8"/>
            <color indexed="81"/>
            <rFont val="Tahoma"/>
            <family val="2"/>
            <charset val="238"/>
          </rPr>
          <t xml:space="preserve">
</t>
        </r>
      </text>
    </comment>
    <comment ref="G134" authorId="0" shapeId="0" xr:uid="{50D2B551-92FF-40F1-A024-F42BE02F8753}">
      <text>
        <r>
          <rPr>
            <b/>
            <sz val="8"/>
            <color indexed="81"/>
            <rFont val="Tahoma"/>
            <family val="2"/>
            <charset val="238"/>
          </rPr>
          <t>VLOŽ JEDNOTKOVOU CENU ZHOTOVITELE ZA POLOŽKU</t>
        </r>
        <r>
          <rPr>
            <sz val="8"/>
            <color indexed="81"/>
            <rFont val="Tahoma"/>
            <family val="2"/>
            <charset val="238"/>
          </rPr>
          <t xml:space="preserve">
</t>
        </r>
      </text>
    </comment>
    <comment ref="G136" authorId="0" shapeId="0" xr:uid="{3C186580-59A6-4AD5-A0BA-70F34F9DB52E}">
      <text>
        <r>
          <rPr>
            <b/>
            <sz val="8"/>
            <color indexed="81"/>
            <rFont val="Tahoma"/>
            <family val="2"/>
            <charset val="238"/>
          </rPr>
          <t>VLOŽ JEDNOTKOVOU CENU ZHOTOVITELE ZA POLOŽKU</t>
        </r>
        <r>
          <rPr>
            <sz val="8"/>
            <color indexed="81"/>
            <rFont val="Tahoma"/>
            <family val="2"/>
            <charset val="238"/>
          </rPr>
          <t xml:space="preserve">
</t>
        </r>
      </text>
    </comment>
    <comment ref="G139" authorId="0" shapeId="0" xr:uid="{197697C3-6754-4699-9395-37A76FDE37BA}">
      <text>
        <r>
          <rPr>
            <b/>
            <sz val="8"/>
            <color indexed="81"/>
            <rFont val="Tahoma"/>
            <family val="2"/>
            <charset val="238"/>
          </rPr>
          <t>VLOŽ JEDNOTKOVOU CENU ZHOTOVITELE ZA POLOŽKU</t>
        </r>
        <r>
          <rPr>
            <sz val="8"/>
            <color indexed="81"/>
            <rFont val="Tahoma"/>
            <family val="2"/>
            <charset val="238"/>
          </rPr>
          <t xml:space="preserve">
</t>
        </r>
      </text>
    </comment>
    <comment ref="G142" authorId="0" shapeId="0" xr:uid="{68910184-C98F-4664-ADDA-F5F1CABEB817}">
      <text>
        <r>
          <rPr>
            <b/>
            <sz val="8"/>
            <color indexed="81"/>
            <rFont val="Tahoma"/>
            <family val="2"/>
            <charset val="238"/>
          </rPr>
          <t>VLOŽ JEDNOTKOVOU CENU ZHOTOVITELE ZA POLOŽKU</t>
        </r>
        <r>
          <rPr>
            <sz val="8"/>
            <color indexed="81"/>
            <rFont val="Tahoma"/>
            <family val="2"/>
            <charset val="238"/>
          </rPr>
          <t xml:space="preserve">
</t>
        </r>
      </text>
    </comment>
    <comment ref="G145" authorId="0" shapeId="0" xr:uid="{96299729-87DA-4108-9C7A-9D563B4420BC}">
      <text>
        <r>
          <rPr>
            <b/>
            <sz val="8"/>
            <color indexed="81"/>
            <rFont val="Tahoma"/>
            <family val="2"/>
            <charset val="238"/>
          </rPr>
          <t>VLOŽ JEDNOTKOVOU CENU ZHOTOVITELE ZA POLOŽKU</t>
        </r>
        <r>
          <rPr>
            <sz val="8"/>
            <color indexed="81"/>
            <rFont val="Tahoma"/>
            <family val="2"/>
            <charset val="238"/>
          </rPr>
          <t xml:space="preserve">
</t>
        </r>
      </text>
    </comment>
    <comment ref="G146" authorId="0" shapeId="0" xr:uid="{B71D9694-E737-468B-9FE2-B8117FA388FE}">
      <text>
        <r>
          <rPr>
            <b/>
            <sz val="8"/>
            <color indexed="81"/>
            <rFont val="Tahoma"/>
            <family val="2"/>
            <charset val="238"/>
          </rPr>
          <t>VLOŽ JEDNOTKOVOU CENU ZHOTOVITELE ZA POLOŽKU</t>
        </r>
        <r>
          <rPr>
            <sz val="8"/>
            <color indexed="81"/>
            <rFont val="Tahoma"/>
            <family val="2"/>
            <charset val="238"/>
          </rPr>
          <t xml:space="preserve">
</t>
        </r>
      </text>
    </comment>
    <comment ref="G148" authorId="0" shapeId="0" xr:uid="{C892FC6D-4816-4B50-B873-92560ABC0FF5}">
      <text>
        <r>
          <rPr>
            <b/>
            <sz val="8"/>
            <color indexed="81"/>
            <rFont val="Tahoma"/>
            <family val="2"/>
            <charset val="238"/>
          </rPr>
          <t>VLOŽ JEDNOTKOVOU CENU ZHOTOVITELE ZA POLOŽKU</t>
        </r>
        <r>
          <rPr>
            <sz val="8"/>
            <color indexed="81"/>
            <rFont val="Tahoma"/>
            <family val="2"/>
            <charset val="238"/>
          </rPr>
          <t xml:space="preserve">
</t>
        </r>
      </text>
    </comment>
    <comment ref="G150" authorId="0" shapeId="0" xr:uid="{A2318901-1F75-45CB-828C-E69B516CA051}">
      <text>
        <r>
          <rPr>
            <b/>
            <sz val="8"/>
            <color indexed="81"/>
            <rFont val="Tahoma"/>
            <family val="2"/>
            <charset val="238"/>
          </rPr>
          <t>VLOŽ JEDNOTKOVOU CENU ZHOTOVITELE ZA POLOŽKU</t>
        </r>
        <r>
          <rPr>
            <sz val="8"/>
            <color indexed="81"/>
            <rFont val="Tahoma"/>
            <family val="2"/>
            <charset val="238"/>
          </rPr>
          <t xml:space="preserve">
</t>
        </r>
      </text>
    </comment>
    <comment ref="G152" authorId="0" shapeId="0" xr:uid="{F7F859F6-B64C-4BDE-8FDC-B03396A554E2}">
      <text>
        <r>
          <rPr>
            <b/>
            <sz val="8"/>
            <color indexed="81"/>
            <rFont val="Tahoma"/>
            <family val="2"/>
            <charset val="238"/>
          </rPr>
          <t>VLOŽ JEDNOTKOVOU CENU ZHOTOVITELE ZA POLOŽKU</t>
        </r>
        <r>
          <rPr>
            <sz val="8"/>
            <color indexed="81"/>
            <rFont val="Tahoma"/>
            <family val="2"/>
            <charset val="238"/>
          </rPr>
          <t xml:space="preserve">
</t>
        </r>
      </text>
    </comment>
    <comment ref="G153" authorId="0" shapeId="0" xr:uid="{FED0D85D-D908-4242-86A9-EBDB6CFDA42B}">
      <text>
        <r>
          <rPr>
            <b/>
            <sz val="8"/>
            <color indexed="81"/>
            <rFont val="Tahoma"/>
            <family val="2"/>
            <charset val="238"/>
          </rPr>
          <t>VLOŽ JEDNOTKOVOU CENU ZHOTOVITELE ZA POLOŽKU</t>
        </r>
        <r>
          <rPr>
            <sz val="8"/>
            <color indexed="81"/>
            <rFont val="Tahoma"/>
            <family val="2"/>
            <charset val="238"/>
          </rPr>
          <t xml:space="preserve">
</t>
        </r>
      </text>
    </comment>
    <comment ref="G154" authorId="0" shapeId="0" xr:uid="{C2D5AF85-E800-4423-AC24-BD6F17E3DF12}">
      <text>
        <r>
          <rPr>
            <b/>
            <sz val="8"/>
            <color indexed="81"/>
            <rFont val="Tahoma"/>
            <family val="2"/>
            <charset val="238"/>
          </rPr>
          <t>VLOŽ JEDNOTKOVOU CENU ZHOTOVITELE ZA POLOŽKU</t>
        </r>
        <r>
          <rPr>
            <sz val="8"/>
            <color indexed="81"/>
            <rFont val="Tahoma"/>
            <family val="2"/>
            <charset val="238"/>
          </rPr>
          <t xml:space="preserve">
</t>
        </r>
      </text>
    </comment>
    <comment ref="G156" authorId="0" shapeId="0" xr:uid="{4B099C4D-E823-40B0-991E-81675B27345F}">
      <text>
        <r>
          <rPr>
            <b/>
            <sz val="8"/>
            <color indexed="81"/>
            <rFont val="Tahoma"/>
            <family val="2"/>
            <charset val="238"/>
          </rPr>
          <t>VLOŽ JEDNOTKOVOU CENU ZHOTOVITELE ZA POLOŽKU</t>
        </r>
        <r>
          <rPr>
            <sz val="8"/>
            <color indexed="81"/>
            <rFont val="Tahoma"/>
            <family val="2"/>
            <charset val="238"/>
          </rPr>
          <t xml:space="preserve">
</t>
        </r>
      </text>
    </comment>
    <comment ref="G158" authorId="0" shapeId="0" xr:uid="{4F461437-F370-41E2-9C12-AB3F57845E5B}">
      <text>
        <r>
          <rPr>
            <b/>
            <sz val="8"/>
            <color indexed="81"/>
            <rFont val="Tahoma"/>
            <family val="2"/>
            <charset val="238"/>
          </rPr>
          <t>VLOŽ JEDNOTKOVOU CENU ZHOTOVITELE ZA POLOŽKU</t>
        </r>
        <r>
          <rPr>
            <sz val="8"/>
            <color indexed="81"/>
            <rFont val="Tahoma"/>
            <family val="2"/>
            <charset val="238"/>
          </rPr>
          <t xml:space="preserve">
</t>
        </r>
      </text>
    </comment>
    <comment ref="G160" authorId="0" shapeId="0" xr:uid="{80F448E3-36E7-4FF2-A04B-163C47CA561A}">
      <text>
        <r>
          <rPr>
            <b/>
            <sz val="8"/>
            <color indexed="81"/>
            <rFont val="Tahoma"/>
            <family val="2"/>
            <charset val="238"/>
          </rPr>
          <t>VLOŽ JEDNOTKOVOU CENU ZHOTOVITELE ZA POLOŽKU</t>
        </r>
        <r>
          <rPr>
            <sz val="8"/>
            <color indexed="81"/>
            <rFont val="Tahoma"/>
            <family val="2"/>
            <charset val="238"/>
          </rPr>
          <t xml:space="preserve">
</t>
        </r>
      </text>
    </comment>
    <comment ref="G162" authorId="0" shapeId="0" xr:uid="{8107BA00-9061-4FBC-89E1-C0A2F2B21C0C}">
      <text>
        <r>
          <rPr>
            <b/>
            <sz val="8"/>
            <color indexed="81"/>
            <rFont val="Tahoma"/>
            <family val="2"/>
            <charset val="238"/>
          </rPr>
          <t>VLOŽ JEDNOTKOVOU CENU ZHOTOVITELE ZA POLOŽKU</t>
        </r>
        <r>
          <rPr>
            <sz val="8"/>
            <color indexed="81"/>
            <rFont val="Tahoma"/>
            <family val="2"/>
            <charset val="238"/>
          </rPr>
          <t xml:space="preserve">
</t>
        </r>
      </text>
    </comment>
    <comment ref="G164" authorId="0" shapeId="0" xr:uid="{99808F45-2D2F-4168-8D44-4CDA943D4DC0}">
      <text>
        <r>
          <rPr>
            <b/>
            <sz val="8"/>
            <color indexed="81"/>
            <rFont val="Tahoma"/>
            <family val="2"/>
            <charset val="238"/>
          </rPr>
          <t>VLOŽ JEDNOTKOVOU CENU ZHOTOVITELE ZA POLOŽKU</t>
        </r>
        <r>
          <rPr>
            <sz val="8"/>
            <color indexed="81"/>
            <rFont val="Tahoma"/>
            <family val="2"/>
            <charset val="238"/>
          </rPr>
          <t xml:space="preserve">
</t>
        </r>
      </text>
    </comment>
    <comment ref="G166" authorId="0" shapeId="0" xr:uid="{0B660026-E5C8-462B-8234-B245D9C67473}">
      <text>
        <r>
          <rPr>
            <b/>
            <sz val="8"/>
            <color indexed="81"/>
            <rFont val="Tahoma"/>
            <family val="2"/>
            <charset val="238"/>
          </rPr>
          <t>VLOŽ JEDNOTKOVOU CENU ZHOTOVITELE ZA POLOŽKU</t>
        </r>
        <r>
          <rPr>
            <sz val="8"/>
            <color indexed="81"/>
            <rFont val="Tahoma"/>
            <family val="2"/>
            <charset val="238"/>
          </rPr>
          <t xml:space="preserve">
</t>
        </r>
      </text>
    </comment>
    <comment ref="G168" authorId="0" shapeId="0" xr:uid="{A8FE7F8D-287E-41CF-9667-76E720024D23}">
      <text>
        <r>
          <rPr>
            <b/>
            <sz val="8"/>
            <color indexed="81"/>
            <rFont val="Tahoma"/>
            <family val="2"/>
            <charset val="238"/>
          </rPr>
          <t>VLOŽ JEDNOTKOVOU CENU ZHOTOVITELE ZA POLOŽKU</t>
        </r>
        <r>
          <rPr>
            <sz val="8"/>
            <color indexed="81"/>
            <rFont val="Tahoma"/>
            <family val="2"/>
            <charset val="238"/>
          </rPr>
          <t xml:space="preserve">
</t>
        </r>
      </text>
    </comment>
    <comment ref="G170" authorId="0" shapeId="0" xr:uid="{5033230D-1959-4D86-89FB-0DCC798A9169}">
      <text>
        <r>
          <rPr>
            <b/>
            <sz val="8"/>
            <color indexed="81"/>
            <rFont val="Tahoma"/>
            <family val="2"/>
            <charset val="238"/>
          </rPr>
          <t>VLOŽ JEDNOTKOVOU CENU ZHOTOVITELE ZA POLOŽKU</t>
        </r>
        <r>
          <rPr>
            <sz val="8"/>
            <color indexed="81"/>
            <rFont val="Tahoma"/>
            <family val="2"/>
            <charset val="238"/>
          </rPr>
          <t xml:space="preserve">
</t>
        </r>
      </text>
    </comment>
    <comment ref="G172" authorId="0" shapeId="0" xr:uid="{8E4760F1-4781-432E-8E3B-81EC701BAA18}">
      <text>
        <r>
          <rPr>
            <b/>
            <sz val="8"/>
            <color indexed="81"/>
            <rFont val="Tahoma"/>
            <family val="2"/>
            <charset val="238"/>
          </rPr>
          <t>VLOŽ JEDNOTKOVOU CENU ZHOTOVITELE ZA POLOŽKU</t>
        </r>
        <r>
          <rPr>
            <sz val="8"/>
            <color indexed="81"/>
            <rFont val="Tahoma"/>
            <family val="2"/>
            <charset val="238"/>
          </rPr>
          <t xml:space="preserve">
</t>
        </r>
      </text>
    </comment>
    <comment ref="G173" authorId="0" shapeId="0" xr:uid="{230D6639-AF72-4384-9E48-BC4F3361A1A1}">
      <text>
        <r>
          <rPr>
            <b/>
            <sz val="8"/>
            <color indexed="81"/>
            <rFont val="Tahoma"/>
            <family val="2"/>
            <charset val="238"/>
          </rPr>
          <t>VLOŽ JEDNOTKOVOU CENU ZHOTOVITELE ZA POLOŽKU</t>
        </r>
        <r>
          <rPr>
            <sz val="8"/>
            <color indexed="81"/>
            <rFont val="Tahoma"/>
            <family val="2"/>
            <charset val="238"/>
          </rPr>
          <t xml:space="preserve">
</t>
        </r>
      </text>
    </comment>
    <comment ref="G174" authorId="0" shapeId="0" xr:uid="{183CFCD5-BD7C-4AF2-8D15-E953D63941C6}">
      <text>
        <r>
          <rPr>
            <b/>
            <sz val="8"/>
            <color indexed="81"/>
            <rFont val="Tahoma"/>
            <family val="2"/>
            <charset val="238"/>
          </rPr>
          <t>VLOŽ JEDNOTKOVOU CENU ZHOTOVITELE ZA POLOŽKU</t>
        </r>
        <r>
          <rPr>
            <sz val="8"/>
            <color indexed="81"/>
            <rFont val="Tahoma"/>
            <family val="2"/>
            <charset val="238"/>
          </rPr>
          <t xml:space="preserve">
</t>
        </r>
      </text>
    </comment>
    <comment ref="G175" authorId="0" shapeId="0" xr:uid="{E4C17D48-C352-48E8-AA48-066EC98345BC}">
      <text>
        <r>
          <rPr>
            <b/>
            <sz val="8"/>
            <color indexed="81"/>
            <rFont val="Tahoma"/>
            <family val="2"/>
            <charset val="238"/>
          </rPr>
          <t>VLOŽ JEDNOTKOVOU CENU ZHOTOVITELE ZA POLOŽKU</t>
        </r>
        <r>
          <rPr>
            <sz val="8"/>
            <color indexed="81"/>
            <rFont val="Tahoma"/>
            <family val="2"/>
            <charset val="238"/>
          </rPr>
          <t xml:space="preserve">
</t>
        </r>
      </text>
    </comment>
    <comment ref="G176" authorId="0" shapeId="0" xr:uid="{CFBA94B5-BCEB-495C-878C-E049D097FE90}">
      <text>
        <r>
          <rPr>
            <b/>
            <sz val="8"/>
            <color indexed="81"/>
            <rFont val="Tahoma"/>
            <family val="2"/>
            <charset val="238"/>
          </rPr>
          <t>VLOŽ JEDNOTKOVOU CENU ZHOTOVITELE ZA POLOŽKU</t>
        </r>
        <r>
          <rPr>
            <sz val="8"/>
            <color indexed="81"/>
            <rFont val="Tahoma"/>
            <family val="2"/>
            <charset val="238"/>
          </rPr>
          <t xml:space="preserve">
</t>
        </r>
      </text>
    </comment>
    <comment ref="G178" authorId="0" shapeId="0" xr:uid="{59EC1C48-2F2C-4835-BD38-2502BA647B6D}">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7E548807-530D-4DC0-9E22-5D13E1BB8F78}">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F64C3468-B68B-49BE-97AE-BC08C127F79B}">
      <text>
        <r>
          <rPr>
            <b/>
            <sz val="8"/>
            <color indexed="81"/>
            <rFont val="Tahoma"/>
            <family val="2"/>
            <charset val="238"/>
          </rPr>
          <t>VLOŽ JEDNOTKOVOU CENU ZHOTOVITELE ZA POLOŽKU</t>
        </r>
        <r>
          <rPr>
            <sz val="8"/>
            <color indexed="81"/>
            <rFont val="Tahoma"/>
            <family val="2"/>
            <charset val="238"/>
          </rPr>
          <t xml:space="preserve">
</t>
        </r>
      </text>
    </comment>
    <comment ref="G18" authorId="0" shapeId="0" xr:uid="{F3A9F0C5-9904-42C3-A4D1-460B5C34E915}">
      <text>
        <r>
          <rPr>
            <b/>
            <sz val="8"/>
            <color indexed="81"/>
            <rFont val="Tahoma"/>
            <family val="2"/>
            <charset val="238"/>
          </rPr>
          <t>VLOŽ JEDNOTKOVOU CENU ZHOTOVITELE ZA POLOŽKU</t>
        </r>
        <r>
          <rPr>
            <sz val="8"/>
            <color indexed="81"/>
            <rFont val="Tahoma"/>
            <family val="2"/>
            <charset val="238"/>
          </rPr>
          <t xml:space="preserve">
</t>
        </r>
      </text>
    </comment>
    <comment ref="G20" authorId="0" shapeId="0" xr:uid="{F8C88316-E3E1-4CB9-83DD-CD7938786853}">
      <text>
        <r>
          <rPr>
            <b/>
            <sz val="8"/>
            <color indexed="81"/>
            <rFont val="Tahoma"/>
            <family val="2"/>
            <charset val="238"/>
          </rPr>
          <t>VLOŽ JEDNOTKOVOU CENU ZHOTOVITELE ZA POLOŽKU</t>
        </r>
        <r>
          <rPr>
            <sz val="8"/>
            <color indexed="81"/>
            <rFont val="Tahoma"/>
            <family val="2"/>
            <charset val="238"/>
          </rPr>
          <t xml:space="preserve">
</t>
        </r>
      </text>
    </comment>
    <comment ref="G22" authorId="0" shapeId="0" xr:uid="{3C63D231-ACFB-4767-8CDE-7FAB43620A43}">
      <text>
        <r>
          <rPr>
            <b/>
            <sz val="8"/>
            <color indexed="81"/>
            <rFont val="Tahoma"/>
            <family val="2"/>
            <charset val="238"/>
          </rPr>
          <t>VLOŽ JEDNOTKOVOU CENU ZHOTOVITELE ZA POLOŽKU</t>
        </r>
        <r>
          <rPr>
            <sz val="8"/>
            <color indexed="81"/>
            <rFont val="Tahoma"/>
            <family val="2"/>
            <charset val="238"/>
          </rPr>
          <t xml:space="preserve">
</t>
        </r>
      </text>
    </comment>
    <comment ref="G24" authorId="0" shapeId="0" xr:uid="{344F9A6B-EE07-4839-A634-F950CF65C9F6}">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04818A1B-9CB9-4909-B29D-E74D4493C13F}">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C5D83F8E-884E-4038-83D0-C6907CBA0928}">
      <text>
        <r>
          <rPr>
            <b/>
            <sz val="8"/>
            <color indexed="81"/>
            <rFont val="Tahoma"/>
            <family val="2"/>
            <charset val="238"/>
          </rPr>
          <t>VLOŽ JEDNOTKOVOU CENU ZHOTOVITELE ZA POLOŽKU</t>
        </r>
        <r>
          <rPr>
            <sz val="8"/>
            <color indexed="81"/>
            <rFont val="Tahoma"/>
            <family val="2"/>
            <charset val="238"/>
          </rPr>
          <t xml:space="preserve">
</t>
        </r>
      </text>
    </comment>
    <comment ref="G31" authorId="0" shapeId="0" xr:uid="{3D3185FA-915C-4E8B-B732-C227E3DC05E4}">
      <text>
        <r>
          <rPr>
            <b/>
            <sz val="8"/>
            <color indexed="81"/>
            <rFont val="Tahoma"/>
            <family val="2"/>
            <charset val="238"/>
          </rPr>
          <t>VLOŽ JEDNOTKOVOU CENU ZHOTOVITELE ZA POLOŽKU</t>
        </r>
        <r>
          <rPr>
            <sz val="8"/>
            <color indexed="81"/>
            <rFont val="Tahoma"/>
            <family val="2"/>
            <charset val="238"/>
          </rPr>
          <t xml:space="preserve">
</t>
        </r>
      </text>
    </comment>
    <comment ref="G33" authorId="0" shapeId="0" xr:uid="{0E9490A8-35F9-4865-AA97-83BFF78722D4}">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ABA8FD08-BAE6-4D0B-9A07-57CDBBFE639C}">
      <text>
        <r>
          <rPr>
            <b/>
            <sz val="8"/>
            <color indexed="81"/>
            <rFont val="Tahoma"/>
            <family val="2"/>
            <charset val="238"/>
          </rPr>
          <t>VLOŽ JEDNOTKOVOU CENU ZHOTOVITELE ZA POLOŽKU</t>
        </r>
        <r>
          <rPr>
            <sz val="8"/>
            <color indexed="81"/>
            <rFont val="Tahoma"/>
            <family val="2"/>
            <charset val="238"/>
          </rPr>
          <t xml:space="preserve">
</t>
        </r>
      </text>
    </comment>
    <comment ref="G38" authorId="0" shapeId="0" xr:uid="{367B6075-67E6-4794-9357-DE1D5351F25D}">
      <text>
        <r>
          <rPr>
            <b/>
            <sz val="8"/>
            <color indexed="81"/>
            <rFont val="Tahoma"/>
            <family val="2"/>
            <charset val="238"/>
          </rPr>
          <t>VLOŽ JEDNOTKOVOU CENU ZHOTOVITELE ZA POLOŽKU</t>
        </r>
        <r>
          <rPr>
            <sz val="8"/>
            <color indexed="81"/>
            <rFont val="Tahoma"/>
            <family val="2"/>
            <charset val="238"/>
          </rPr>
          <t xml:space="preserve">
</t>
        </r>
      </text>
    </comment>
    <comment ref="G40" authorId="0" shapeId="0" xr:uid="{602B8D18-A521-4BC6-ACD4-76F7043EC65A}">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F839AD2A-7D4E-47B1-9758-F60244625674}">
      <text>
        <r>
          <rPr>
            <b/>
            <sz val="8"/>
            <color indexed="81"/>
            <rFont val="Tahoma"/>
            <family val="2"/>
            <charset val="238"/>
          </rPr>
          <t>VLOŽ JEDNOTKOVOU CENU ZHOTOVITELE ZA POLOŽKU</t>
        </r>
        <r>
          <rPr>
            <sz val="8"/>
            <color indexed="81"/>
            <rFont val="Tahoma"/>
            <family val="2"/>
            <charset val="238"/>
          </rPr>
          <t xml:space="preserve">
</t>
        </r>
      </text>
    </comment>
    <comment ref="G46" authorId="0" shapeId="0" xr:uid="{F6BDB22D-B484-4405-B87B-660E4832ECB0}">
      <text>
        <r>
          <rPr>
            <b/>
            <sz val="8"/>
            <color indexed="81"/>
            <rFont val="Tahoma"/>
            <family val="2"/>
            <charset val="238"/>
          </rPr>
          <t>VLOŽ JEDNOTKOVOU CENU ZHOTOVITELE ZA POLOŽKU</t>
        </r>
        <r>
          <rPr>
            <sz val="8"/>
            <color indexed="81"/>
            <rFont val="Tahoma"/>
            <family val="2"/>
            <charset val="238"/>
          </rPr>
          <t xml:space="preserve">
</t>
        </r>
      </text>
    </comment>
    <comment ref="G49" authorId="0" shapeId="0" xr:uid="{19D3F8ED-4D74-4C8A-A7B2-E411E98C45E8}">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330BE26C-4573-46CF-9551-9C2CA33F65D1}">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C02352FB-4165-465C-9C45-940606EF043F}">
      <text>
        <r>
          <rPr>
            <b/>
            <sz val="8"/>
            <color indexed="81"/>
            <rFont val="Tahoma"/>
            <family val="2"/>
            <charset val="238"/>
          </rPr>
          <t>VLOŽ JEDNOTKOVOU CENU ZHOTOVITELE ZA POLOŽKU</t>
        </r>
        <r>
          <rPr>
            <sz val="8"/>
            <color indexed="81"/>
            <rFont val="Tahoma"/>
            <family val="2"/>
            <charset val="238"/>
          </rPr>
          <t xml:space="preserve">
</t>
        </r>
      </text>
    </comment>
    <comment ref="G56" authorId="0" shapeId="0" xr:uid="{6D0F64A8-701B-4E02-9B66-124638F11258}">
      <text>
        <r>
          <rPr>
            <b/>
            <sz val="8"/>
            <color indexed="81"/>
            <rFont val="Tahoma"/>
            <family val="2"/>
            <charset val="238"/>
          </rPr>
          <t>VLOŽ JEDNOTKOVOU CENU ZHOTOVITELE ZA POLOŽKU</t>
        </r>
        <r>
          <rPr>
            <sz val="8"/>
            <color indexed="81"/>
            <rFont val="Tahoma"/>
            <family val="2"/>
            <charset val="238"/>
          </rPr>
          <t xml:space="preserve">
</t>
        </r>
      </text>
    </comment>
    <comment ref="G58" authorId="0" shapeId="0" xr:uid="{E39D35CA-A931-47FE-8A7C-7666A475214E}">
      <text>
        <r>
          <rPr>
            <b/>
            <sz val="8"/>
            <color indexed="81"/>
            <rFont val="Tahoma"/>
            <family val="2"/>
            <charset val="238"/>
          </rPr>
          <t>VLOŽ JEDNOTKOVOU CENU ZHOTOVITELE ZA POLOŽKU</t>
        </r>
        <r>
          <rPr>
            <sz val="8"/>
            <color indexed="81"/>
            <rFont val="Tahoma"/>
            <family val="2"/>
            <charset val="238"/>
          </rPr>
          <t xml:space="preserve">
</t>
        </r>
      </text>
    </comment>
    <comment ref="G61" authorId="0" shapeId="0" xr:uid="{C162228D-6285-40E7-AF37-8FB9914EE7E4}">
      <text>
        <r>
          <rPr>
            <b/>
            <sz val="8"/>
            <color indexed="81"/>
            <rFont val="Tahoma"/>
            <family val="2"/>
            <charset val="238"/>
          </rPr>
          <t>VLOŽ JEDNOTKOVOU CENU ZHOTOVITELE ZA POLOŽKU</t>
        </r>
        <r>
          <rPr>
            <sz val="8"/>
            <color indexed="81"/>
            <rFont val="Tahoma"/>
            <family val="2"/>
            <charset val="238"/>
          </rPr>
          <t xml:space="preserve">
</t>
        </r>
      </text>
    </comment>
    <comment ref="G64" authorId="0" shapeId="0" xr:uid="{D3882E11-4A6F-4BE8-B103-5FA2FD2F4083}">
      <text>
        <r>
          <rPr>
            <b/>
            <sz val="8"/>
            <color indexed="81"/>
            <rFont val="Tahoma"/>
            <family val="2"/>
            <charset val="238"/>
          </rPr>
          <t>VLOŽ JEDNOTKOVOU CENU ZHOTOVITELE ZA POLOŽKU</t>
        </r>
        <r>
          <rPr>
            <sz val="8"/>
            <color indexed="81"/>
            <rFont val="Tahoma"/>
            <family val="2"/>
            <charset val="238"/>
          </rPr>
          <t xml:space="preserve">
</t>
        </r>
      </text>
    </comment>
    <comment ref="G67" authorId="0" shapeId="0" xr:uid="{A4B79C55-D3EE-4CD3-859F-82AD178699FA}">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E42D4E87-C667-4890-812A-A9B8E8DCFFB7}">
      <text>
        <r>
          <rPr>
            <b/>
            <sz val="8"/>
            <color indexed="81"/>
            <rFont val="Tahoma"/>
            <family val="2"/>
            <charset val="238"/>
          </rPr>
          <t>VLOŽ JEDNOTKOVOU CENU ZHOTOVITELE ZA POLOŽKU</t>
        </r>
        <r>
          <rPr>
            <sz val="8"/>
            <color indexed="81"/>
            <rFont val="Tahoma"/>
            <family val="2"/>
            <charset val="238"/>
          </rPr>
          <t xml:space="preserve">
</t>
        </r>
      </text>
    </comment>
    <comment ref="G70" authorId="0" shapeId="0" xr:uid="{47239FE2-706F-4012-B9D7-DB0839C311B8}">
      <text>
        <r>
          <rPr>
            <b/>
            <sz val="8"/>
            <color indexed="81"/>
            <rFont val="Tahoma"/>
            <family val="2"/>
            <charset val="238"/>
          </rPr>
          <t>VLOŽ JEDNOTKOVOU CENU ZHOTOVITELE ZA POLOŽKU</t>
        </r>
        <r>
          <rPr>
            <sz val="8"/>
            <color indexed="81"/>
            <rFont val="Tahoma"/>
            <family val="2"/>
            <charset val="238"/>
          </rPr>
          <t xml:space="preserve">
</t>
        </r>
      </text>
    </comment>
    <comment ref="G73" authorId="0" shapeId="0" xr:uid="{F7E77644-B967-473B-865E-B705B6886E9E}">
      <text>
        <r>
          <rPr>
            <b/>
            <sz val="8"/>
            <color indexed="81"/>
            <rFont val="Tahoma"/>
            <family val="2"/>
            <charset val="238"/>
          </rPr>
          <t>VLOŽ JEDNOTKOVOU CENU ZHOTOVITELE ZA POLOŽKU</t>
        </r>
        <r>
          <rPr>
            <sz val="8"/>
            <color indexed="81"/>
            <rFont val="Tahoma"/>
            <family val="2"/>
            <charset val="238"/>
          </rPr>
          <t xml:space="preserve">
</t>
        </r>
      </text>
    </comment>
    <comment ref="G74" authorId="0" shapeId="0" xr:uid="{D5A3DF8E-C591-4445-8B0B-802C46E1F524}">
      <text>
        <r>
          <rPr>
            <b/>
            <sz val="8"/>
            <color indexed="81"/>
            <rFont val="Tahoma"/>
            <family val="2"/>
            <charset val="238"/>
          </rPr>
          <t>VLOŽ JEDNOTKOVOU CENU ZHOTOVITELE ZA POLOŽKU</t>
        </r>
        <r>
          <rPr>
            <sz val="8"/>
            <color indexed="81"/>
            <rFont val="Tahoma"/>
            <family val="2"/>
            <charset val="238"/>
          </rPr>
          <t xml:space="preserve">
</t>
        </r>
      </text>
    </comment>
    <comment ref="G76" authorId="0" shapeId="0" xr:uid="{935E692A-158E-41BF-9689-0DCCA1E80E79}">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4D17A4D1-4C7A-4BC3-B49B-8F1868594D3C}">
      <text>
        <r>
          <rPr>
            <b/>
            <sz val="8"/>
            <color indexed="81"/>
            <rFont val="Tahoma"/>
            <family val="2"/>
            <charset val="238"/>
          </rPr>
          <t>VLOŽ JEDNOTKOVOU CENU ZHOTOVITELE ZA POLOŽKU</t>
        </r>
        <r>
          <rPr>
            <sz val="8"/>
            <color indexed="81"/>
            <rFont val="Tahoma"/>
            <family val="2"/>
            <charset val="238"/>
          </rPr>
          <t xml:space="preserve">
</t>
        </r>
      </text>
    </comment>
    <comment ref="G16" authorId="0" shapeId="0" xr:uid="{F79A3F01-CA39-43E8-84C1-F44BB435BA6D}">
      <text>
        <r>
          <rPr>
            <b/>
            <sz val="8"/>
            <color indexed="81"/>
            <rFont val="Tahoma"/>
            <family val="2"/>
            <charset val="238"/>
          </rPr>
          <t>VLOŽ JEDNOTKOVOU CENU ZHOTOVITELE ZA POLOŽKU</t>
        </r>
        <r>
          <rPr>
            <sz val="8"/>
            <color indexed="81"/>
            <rFont val="Tahoma"/>
            <family val="2"/>
            <charset val="238"/>
          </rPr>
          <t xml:space="preserve">
</t>
        </r>
      </text>
    </comment>
    <comment ref="G18" authorId="0" shapeId="0" xr:uid="{129E56BB-DA15-4DB7-9C11-D25B8FAA6D38}">
      <text>
        <r>
          <rPr>
            <b/>
            <sz val="8"/>
            <color indexed="81"/>
            <rFont val="Tahoma"/>
            <family val="2"/>
            <charset val="238"/>
          </rPr>
          <t>VLOŽ JEDNOTKOVOU CENU ZHOTOVITELE ZA POLOŽKU</t>
        </r>
        <r>
          <rPr>
            <sz val="8"/>
            <color indexed="81"/>
            <rFont val="Tahoma"/>
            <family val="2"/>
            <charset val="238"/>
          </rPr>
          <t xml:space="preserve">
</t>
        </r>
      </text>
    </comment>
    <comment ref="G21" authorId="0" shapeId="0" xr:uid="{9177E582-5351-4CD3-95B8-ABA22352ED54}">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2701F2A5-9F73-45F8-AC5F-998A12776DF7}">
      <text>
        <r>
          <rPr>
            <b/>
            <sz val="8"/>
            <color indexed="81"/>
            <rFont val="Tahoma"/>
            <family val="2"/>
            <charset val="238"/>
          </rPr>
          <t>VLOŽ JEDNOTKOVOU CENU ZHOTOVITELE ZA POLOŽKU</t>
        </r>
        <r>
          <rPr>
            <sz val="8"/>
            <color indexed="81"/>
            <rFont val="Tahoma"/>
            <family val="2"/>
            <charset val="238"/>
          </rPr>
          <t xml:space="preserve">
</t>
        </r>
      </text>
    </comment>
    <comment ref="G16" authorId="0" shapeId="0" xr:uid="{841F4B7B-85E2-40B0-94F9-B382BBB63CC9}">
      <text>
        <r>
          <rPr>
            <b/>
            <sz val="8"/>
            <color indexed="81"/>
            <rFont val="Tahoma"/>
            <family val="2"/>
            <charset val="238"/>
          </rPr>
          <t>VLOŽ JEDNOTKOVOU CENU ZHOTOVITELE ZA POLOŽKU</t>
        </r>
        <r>
          <rPr>
            <sz val="8"/>
            <color indexed="81"/>
            <rFont val="Tahoma"/>
            <family val="2"/>
            <charset val="238"/>
          </rPr>
          <t xml:space="preserve">
</t>
        </r>
      </text>
    </comment>
    <comment ref="G19" authorId="0" shapeId="0" xr:uid="{DE0C196F-36AC-4A9A-8B2D-0346A6362485}">
      <text>
        <r>
          <rPr>
            <b/>
            <sz val="8"/>
            <color indexed="81"/>
            <rFont val="Tahoma"/>
            <family val="2"/>
            <charset val="238"/>
          </rPr>
          <t>VLOŽ JEDNOTKOVOU CENU ZHOTOVITELE ZA POLOŽKU</t>
        </r>
        <r>
          <rPr>
            <sz val="8"/>
            <color indexed="81"/>
            <rFont val="Tahoma"/>
            <family val="2"/>
            <charset val="238"/>
          </rPr>
          <t xml:space="preserve">
</t>
        </r>
      </text>
    </comment>
    <comment ref="G21" authorId="0" shapeId="0" xr:uid="{F70AA3AB-35F9-4FCD-BA06-9DC109F6B90A}">
      <text>
        <r>
          <rPr>
            <b/>
            <sz val="8"/>
            <color indexed="81"/>
            <rFont val="Tahoma"/>
            <family val="2"/>
            <charset val="238"/>
          </rPr>
          <t>VLOŽ JEDNOTKOVOU CENU ZHOTOVITELE ZA POLOŽKU</t>
        </r>
        <r>
          <rPr>
            <sz val="8"/>
            <color indexed="81"/>
            <rFont val="Tahoma"/>
            <family val="2"/>
            <charset val="238"/>
          </rPr>
          <t xml:space="preserve">
</t>
        </r>
      </text>
    </comment>
    <comment ref="G23" authorId="0" shapeId="0" xr:uid="{A82355E3-C441-4F9D-93CB-8DEF4FC238A0}">
      <text>
        <r>
          <rPr>
            <b/>
            <sz val="8"/>
            <color indexed="81"/>
            <rFont val="Tahoma"/>
            <family val="2"/>
            <charset val="238"/>
          </rPr>
          <t>VLOŽ JEDNOTKOVOU CENU ZHOTOVITELE ZA POLOŽKU</t>
        </r>
        <r>
          <rPr>
            <sz val="8"/>
            <color indexed="81"/>
            <rFont val="Tahoma"/>
            <family val="2"/>
            <charset val="238"/>
          </rPr>
          <t xml:space="preserve">
</t>
        </r>
      </text>
    </comment>
    <comment ref="G25" authorId="0" shapeId="0" xr:uid="{D8399011-5B7C-4369-8A32-B6AED1CFE47C}">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79BC7005-5E1F-4812-A348-053980BAC312}">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938F583C-5A26-439A-8188-5663C0B6A45C}">
      <text>
        <r>
          <rPr>
            <b/>
            <sz val="8"/>
            <color indexed="81"/>
            <rFont val="Tahoma"/>
            <family val="2"/>
            <charset val="238"/>
          </rPr>
          <t>VLOŽ JEDNOTKOVOU CENU ZHOTOVITELE ZA POLOŽKU</t>
        </r>
        <r>
          <rPr>
            <sz val="8"/>
            <color indexed="81"/>
            <rFont val="Tahoma"/>
            <family val="2"/>
            <charset val="238"/>
          </rPr>
          <t xml:space="preserve">
</t>
        </r>
      </text>
    </comment>
    <comment ref="G32" authorId="0" shapeId="0" xr:uid="{E01A8430-3C4D-4E8B-A7E8-48EE691DD838}">
      <text>
        <r>
          <rPr>
            <b/>
            <sz val="8"/>
            <color indexed="81"/>
            <rFont val="Tahoma"/>
            <family val="2"/>
            <charset val="238"/>
          </rPr>
          <t>VLOŽ JEDNOTKOVOU CENU ZHOTOVITELE ZA POLOŽKU</t>
        </r>
        <r>
          <rPr>
            <sz val="8"/>
            <color indexed="81"/>
            <rFont val="Tahoma"/>
            <family val="2"/>
            <charset val="238"/>
          </rPr>
          <t xml:space="preserve">
</t>
        </r>
      </text>
    </comment>
    <comment ref="G35" authorId="0" shapeId="0" xr:uid="{127867A9-1AD1-4E10-AB4D-EA38BC182765}">
      <text>
        <r>
          <rPr>
            <b/>
            <sz val="8"/>
            <color indexed="81"/>
            <rFont val="Tahoma"/>
            <family val="2"/>
            <charset val="238"/>
          </rPr>
          <t>VLOŽ JEDNOTKOVOU CENU ZHOTOVITELE ZA POLOŽKU</t>
        </r>
        <r>
          <rPr>
            <sz val="8"/>
            <color indexed="81"/>
            <rFont val="Tahoma"/>
            <family val="2"/>
            <charset val="238"/>
          </rPr>
          <t xml:space="preserve">
</t>
        </r>
      </text>
    </comment>
    <comment ref="G37" authorId="0" shapeId="0" xr:uid="{B8B4C1AE-F989-46FA-80C8-11049779DE0D}">
      <text>
        <r>
          <rPr>
            <b/>
            <sz val="8"/>
            <color indexed="81"/>
            <rFont val="Tahoma"/>
            <family val="2"/>
            <charset val="238"/>
          </rPr>
          <t>VLOŽ JEDNOTKOVOU CENU ZHOTOVITELE ZA POLOŽKU</t>
        </r>
        <r>
          <rPr>
            <sz val="8"/>
            <color indexed="81"/>
            <rFont val="Tahoma"/>
            <family val="2"/>
            <charset val="238"/>
          </rPr>
          <t xml:space="preserve">
</t>
        </r>
      </text>
    </comment>
    <comment ref="G39" authorId="0" shapeId="0" xr:uid="{6B8268B9-BEB5-4407-BDC5-F510486E450B}">
      <text>
        <r>
          <rPr>
            <b/>
            <sz val="8"/>
            <color indexed="81"/>
            <rFont val="Tahoma"/>
            <family val="2"/>
            <charset val="238"/>
          </rPr>
          <t>VLOŽ JEDNOTKOVOU CENU ZHOTOVITELE ZA POLOŽKU</t>
        </r>
        <r>
          <rPr>
            <sz val="8"/>
            <color indexed="81"/>
            <rFont val="Tahoma"/>
            <family val="2"/>
            <charset val="238"/>
          </rPr>
          <t xml:space="preserve">
</t>
        </r>
      </text>
    </comment>
    <comment ref="G41" authorId="0" shapeId="0" xr:uid="{D58558DC-811A-4226-9AD4-1781BAA3507E}">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EEABA11D-DC33-4C2A-8C2E-E128BAB312DE}">
      <text>
        <r>
          <rPr>
            <b/>
            <sz val="8"/>
            <color indexed="81"/>
            <rFont val="Tahoma"/>
            <family val="2"/>
            <charset val="238"/>
          </rPr>
          <t>VLOŽ JEDNOTKOVOU CENU ZHOTOVITELE ZA POLOŽKU</t>
        </r>
        <r>
          <rPr>
            <sz val="8"/>
            <color indexed="81"/>
            <rFont val="Tahoma"/>
            <family val="2"/>
            <charset val="238"/>
          </rPr>
          <t xml:space="preserve">
</t>
        </r>
      </text>
    </comment>
    <comment ref="G45" authorId="0" shapeId="0" xr:uid="{55ED790F-96BD-4C02-A68D-A337083E3740}">
      <text>
        <r>
          <rPr>
            <b/>
            <sz val="8"/>
            <color indexed="81"/>
            <rFont val="Tahoma"/>
            <family val="2"/>
            <charset val="238"/>
          </rPr>
          <t>VLOŽ JEDNOTKOVOU CENU ZHOTOVITELE ZA POLOŽKU</t>
        </r>
        <r>
          <rPr>
            <sz val="8"/>
            <color indexed="81"/>
            <rFont val="Tahoma"/>
            <family val="2"/>
            <charset val="238"/>
          </rPr>
          <t xml:space="preserve">
</t>
        </r>
      </text>
    </comment>
    <comment ref="G47" authorId="0" shapeId="0" xr:uid="{BFC3000E-E86C-4F62-9293-5C31FC2633B3}">
      <text>
        <r>
          <rPr>
            <b/>
            <sz val="8"/>
            <color indexed="81"/>
            <rFont val="Tahoma"/>
            <family val="2"/>
            <charset val="238"/>
          </rPr>
          <t>VLOŽ JEDNOTKOVOU CENU ZHOTOVITELE ZA POLOŽKU</t>
        </r>
        <r>
          <rPr>
            <sz val="8"/>
            <color indexed="81"/>
            <rFont val="Tahoma"/>
            <family val="2"/>
            <charset val="238"/>
          </rPr>
          <t xml:space="preserve">
</t>
        </r>
      </text>
    </comment>
    <comment ref="G50" authorId="0" shapeId="0" xr:uid="{DDAAB034-802A-4AA8-B827-9C198A787E5F}">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2F7823A4-5397-400E-98E2-352E77D44A67}">
      <text>
        <r>
          <rPr>
            <b/>
            <sz val="8"/>
            <color indexed="81"/>
            <rFont val="Tahoma"/>
            <family val="2"/>
            <charset val="238"/>
          </rPr>
          <t>VLOŽ JEDNOTKOVOU CENU ZHOTOVITELE ZA POLOŽKU</t>
        </r>
        <r>
          <rPr>
            <sz val="8"/>
            <color indexed="81"/>
            <rFont val="Tahoma"/>
            <family val="2"/>
            <charset val="238"/>
          </rPr>
          <t xml:space="preserve">
</t>
        </r>
      </text>
    </comment>
    <comment ref="G55" authorId="0" shapeId="0" xr:uid="{4F734807-A61C-4192-AC67-05AB1EBD512C}">
      <text>
        <r>
          <rPr>
            <b/>
            <sz val="8"/>
            <color indexed="81"/>
            <rFont val="Tahoma"/>
            <family val="2"/>
            <charset val="238"/>
          </rPr>
          <t>VLOŽ JEDNOTKOVOU CENU ZHOTOVITELE ZA POLOŽKU</t>
        </r>
        <r>
          <rPr>
            <sz val="8"/>
            <color indexed="81"/>
            <rFont val="Tahoma"/>
            <family val="2"/>
            <charset val="238"/>
          </rPr>
          <t xml:space="preserve">
</t>
        </r>
      </text>
    </comment>
    <comment ref="G57" authorId="0" shapeId="0" xr:uid="{3CAFA552-2DD1-4868-ACF9-31EC15EE9CBD}">
      <text>
        <r>
          <rPr>
            <b/>
            <sz val="8"/>
            <color indexed="81"/>
            <rFont val="Tahoma"/>
            <family val="2"/>
            <charset val="238"/>
          </rPr>
          <t>VLOŽ JEDNOTKOVOU CENU ZHOTOVITELE ZA POLOŽKU</t>
        </r>
        <r>
          <rPr>
            <sz val="8"/>
            <color indexed="81"/>
            <rFont val="Tahoma"/>
            <family val="2"/>
            <charset val="238"/>
          </rPr>
          <t xml:space="preserve">
</t>
        </r>
      </text>
    </comment>
    <comment ref="G59" authorId="0" shapeId="0" xr:uid="{8A54EBF0-DE81-4C0A-A665-8CFB08109372}">
      <text>
        <r>
          <rPr>
            <b/>
            <sz val="8"/>
            <color indexed="81"/>
            <rFont val="Tahoma"/>
            <family val="2"/>
            <charset val="238"/>
          </rPr>
          <t>VLOŽ JEDNOTKOVOU CENU ZHOTOVITELE ZA POLOŽKU</t>
        </r>
        <r>
          <rPr>
            <sz val="8"/>
            <color indexed="81"/>
            <rFont val="Tahoma"/>
            <family val="2"/>
            <charset val="238"/>
          </rPr>
          <t xml:space="preserve">
</t>
        </r>
      </text>
    </comment>
    <comment ref="G61" authorId="0" shapeId="0" xr:uid="{32D30097-D1A9-4F94-91AA-B68A8248F40A}">
      <text>
        <r>
          <rPr>
            <b/>
            <sz val="8"/>
            <color indexed="81"/>
            <rFont val="Tahoma"/>
            <family val="2"/>
            <charset val="238"/>
          </rPr>
          <t>VLOŽ JEDNOTKOVOU CENU ZHOTOVITELE ZA POLOŽKU</t>
        </r>
        <r>
          <rPr>
            <sz val="8"/>
            <color indexed="81"/>
            <rFont val="Tahoma"/>
            <family val="2"/>
            <charset val="238"/>
          </rPr>
          <t xml:space="preserve">
</t>
        </r>
      </text>
    </comment>
    <comment ref="G63" authorId="0" shapeId="0" xr:uid="{01B9A64C-8A2E-40AE-A958-4DE63AC9DC90}">
      <text>
        <r>
          <rPr>
            <b/>
            <sz val="8"/>
            <color indexed="81"/>
            <rFont val="Tahoma"/>
            <family val="2"/>
            <charset val="238"/>
          </rPr>
          <t>VLOŽ JEDNOTKOVOU CENU ZHOTOVITELE ZA POLOŽKU</t>
        </r>
        <r>
          <rPr>
            <sz val="8"/>
            <color indexed="81"/>
            <rFont val="Tahoma"/>
            <family val="2"/>
            <charset val="238"/>
          </rPr>
          <t xml:space="preserve">
</t>
        </r>
      </text>
    </comment>
    <comment ref="G65" authorId="0" shapeId="0" xr:uid="{B5CF224C-E8A9-4C38-A083-5A913E061BC5}">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5FEF5FE8-2A3E-4DB7-90C0-826BDE2DD589}">
      <text>
        <r>
          <rPr>
            <b/>
            <sz val="8"/>
            <color indexed="81"/>
            <rFont val="Tahoma"/>
            <family val="2"/>
            <charset val="238"/>
          </rPr>
          <t>VLOŽ JEDNOTKOVOU CENU ZHOTOVITELE ZA POLOŽKU</t>
        </r>
        <r>
          <rPr>
            <sz val="8"/>
            <color indexed="81"/>
            <rFont val="Tahoma"/>
            <family val="2"/>
            <charset val="238"/>
          </rPr>
          <t xml:space="preserve">
</t>
        </r>
      </text>
    </comment>
    <comment ref="G70" authorId="0" shapeId="0" xr:uid="{D43A3628-64DF-4EC2-8A39-A92D9E02A5A2}">
      <text>
        <r>
          <rPr>
            <b/>
            <sz val="8"/>
            <color indexed="81"/>
            <rFont val="Tahoma"/>
            <family val="2"/>
            <charset val="238"/>
          </rPr>
          <t>VLOŽ JEDNOTKOVOU CENU ZHOTOVITELE ZA POLOŽKU</t>
        </r>
        <r>
          <rPr>
            <sz val="8"/>
            <color indexed="81"/>
            <rFont val="Tahoma"/>
            <family val="2"/>
            <charset val="238"/>
          </rPr>
          <t xml:space="preserve">
</t>
        </r>
      </text>
    </comment>
    <comment ref="G71" authorId="0" shapeId="0" xr:uid="{042BC2D7-97F0-4E0F-B886-3DC7C821D8BC}">
      <text>
        <r>
          <rPr>
            <b/>
            <sz val="8"/>
            <color indexed="81"/>
            <rFont val="Tahoma"/>
            <family val="2"/>
            <charset val="238"/>
          </rPr>
          <t>VLOŽ JEDNOTKOVOU CENU ZHOTOVITELE ZA POLOŽKU</t>
        </r>
        <r>
          <rPr>
            <sz val="8"/>
            <color indexed="81"/>
            <rFont val="Tahoma"/>
            <family val="2"/>
            <charset val="238"/>
          </rPr>
          <t xml:space="preserve">
</t>
        </r>
      </text>
    </comment>
    <comment ref="G74" authorId="0" shapeId="0" xr:uid="{6DE76D7B-8049-4928-90B3-076AC5021F26}">
      <text>
        <r>
          <rPr>
            <b/>
            <sz val="8"/>
            <color indexed="81"/>
            <rFont val="Tahoma"/>
            <family val="2"/>
            <charset val="238"/>
          </rPr>
          <t>VLOŽ JEDNOTKOVOU CENU ZHOTOVITELE ZA POLOŽKU</t>
        </r>
        <r>
          <rPr>
            <sz val="8"/>
            <color indexed="81"/>
            <rFont val="Tahoma"/>
            <family val="2"/>
            <charset val="238"/>
          </rPr>
          <t xml:space="preserve">
</t>
        </r>
      </text>
    </comment>
    <comment ref="G76" authorId="0" shapeId="0" xr:uid="{B37EC1F2-313D-4C7E-9D56-A7BBBE4E87CC}">
      <text>
        <r>
          <rPr>
            <b/>
            <sz val="8"/>
            <color indexed="81"/>
            <rFont val="Tahoma"/>
            <family val="2"/>
            <charset val="238"/>
          </rPr>
          <t>VLOŽ JEDNOTKOVOU CENU ZHOTOVITELE ZA POLOŽKU</t>
        </r>
        <r>
          <rPr>
            <sz val="8"/>
            <color indexed="81"/>
            <rFont val="Tahoma"/>
            <family val="2"/>
            <charset val="238"/>
          </rPr>
          <t xml:space="preserve">
</t>
        </r>
      </text>
    </comment>
    <comment ref="G79" authorId="0" shapeId="0" xr:uid="{46D8CCF2-2837-4036-BE00-E5027CA35FD5}">
      <text>
        <r>
          <rPr>
            <b/>
            <sz val="8"/>
            <color indexed="81"/>
            <rFont val="Tahoma"/>
            <family val="2"/>
            <charset val="238"/>
          </rPr>
          <t>VLOŽ JEDNOTKOVOU CENU ZHOTOVITELE ZA POLOŽKU</t>
        </r>
        <r>
          <rPr>
            <sz val="8"/>
            <color indexed="81"/>
            <rFont val="Tahoma"/>
            <family val="2"/>
            <charset val="238"/>
          </rPr>
          <t xml:space="preserve">
</t>
        </r>
      </text>
    </comment>
    <comment ref="G81" authorId="0" shapeId="0" xr:uid="{0861538E-7763-41E2-8ADC-B2B27793E6F0}">
      <text>
        <r>
          <rPr>
            <b/>
            <sz val="8"/>
            <color indexed="81"/>
            <rFont val="Tahoma"/>
            <family val="2"/>
            <charset val="238"/>
          </rPr>
          <t>VLOŽ JEDNOTKOVOU CENU ZHOTOVITELE ZA POLOŽKU</t>
        </r>
        <r>
          <rPr>
            <sz val="8"/>
            <color indexed="81"/>
            <rFont val="Tahoma"/>
            <family val="2"/>
            <charset val="238"/>
          </rPr>
          <t xml:space="preserve">
</t>
        </r>
      </text>
    </comment>
    <comment ref="G84" authorId="0" shapeId="0" xr:uid="{CEB0C0F8-3911-47A4-817D-F693C068FDD3}">
      <text>
        <r>
          <rPr>
            <b/>
            <sz val="8"/>
            <color indexed="81"/>
            <rFont val="Tahoma"/>
            <family val="2"/>
            <charset val="238"/>
          </rPr>
          <t>VLOŽ JEDNOTKOVOU CENU ZHOTOVITELE ZA POLOŽKU</t>
        </r>
        <r>
          <rPr>
            <sz val="8"/>
            <color indexed="81"/>
            <rFont val="Tahoma"/>
            <family val="2"/>
            <charset val="238"/>
          </rPr>
          <t xml:space="preserve">
</t>
        </r>
      </text>
    </comment>
    <comment ref="G86" authorId="0" shapeId="0" xr:uid="{B9B047B6-A1B4-45D6-8E8C-8E9D644817FE}">
      <text>
        <r>
          <rPr>
            <b/>
            <sz val="8"/>
            <color indexed="81"/>
            <rFont val="Tahoma"/>
            <family val="2"/>
            <charset val="238"/>
          </rPr>
          <t>VLOŽ JEDNOTKOVOU CENU ZHOTOVITELE ZA POLOŽKU</t>
        </r>
        <r>
          <rPr>
            <sz val="8"/>
            <color indexed="81"/>
            <rFont val="Tahoma"/>
            <family val="2"/>
            <charset val="238"/>
          </rPr>
          <t xml:space="preserve">
</t>
        </r>
      </text>
    </comment>
    <comment ref="G89" authorId="0" shapeId="0" xr:uid="{24E298E7-0CDC-444A-93AD-C9208E160DE0}">
      <text>
        <r>
          <rPr>
            <b/>
            <sz val="8"/>
            <color indexed="81"/>
            <rFont val="Tahoma"/>
            <family val="2"/>
            <charset val="238"/>
          </rPr>
          <t>VLOŽ JEDNOTKOVOU CENU ZHOTOVITELE ZA POLOŽKU</t>
        </r>
        <r>
          <rPr>
            <sz val="8"/>
            <color indexed="81"/>
            <rFont val="Tahoma"/>
            <family val="2"/>
            <charset val="238"/>
          </rPr>
          <t xml:space="preserve">
</t>
        </r>
      </text>
    </comment>
    <comment ref="G92" authorId="0" shapeId="0" xr:uid="{73D7B3DA-F83C-4504-8C1E-A9F1AD17E8F8}">
      <text>
        <r>
          <rPr>
            <b/>
            <sz val="8"/>
            <color indexed="81"/>
            <rFont val="Tahoma"/>
            <family val="2"/>
            <charset val="238"/>
          </rPr>
          <t>VLOŽ JEDNOTKOVOU CENU ZHOTOVITELE ZA POLOŽKU</t>
        </r>
        <r>
          <rPr>
            <sz val="8"/>
            <color indexed="81"/>
            <rFont val="Tahoma"/>
            <family val="2"/>
            <charset val="238"/>
          </rPr>
          <t xml:space="preserve">
</t>
        </r>
      </text>
    </comment>
    <comment ref="G94" authorId="0" shapeId="0" xr:uid="{8752DC46-0050-4E2B-998B-9C64A429B57A}">
      <text>
        <r>
          <rPr>
            <b/>
            <sz val="8"/>
            <color indexed="81"/>
            <rFont val="Tahoma"/>
            <family val="2"/>
            <charset val="238"/>
          </rPr>
          <t>VLOŽ JEDNOTKOVOU CENU ZHOTOVITELE ZA POLOŽKU</t>
        </r>
        <r>
          <rPr>
            <sz val="8"/>
            <color indexed="81"/>
            <rFont val="Tahoma"/>
            <family val="2"/>
            <charset val="238"/>
          </rPr>
          <t xml:space="preserve">
</t>
        </r>
      </text>
    </comment>
    <comment ref="G96" authorId="0" shapeId="0" xr:uid="{1845547A-42DD-44BD-9D61-E16C772B0239}">
      <text>
        <r>
          <rPr>
            <b/>
            <sz val="8"/>
            <color indexed="81"/>
            <rFont val="Tahoma"/>
            <family val="2"/>
            <charset val="238"/>
          </rPr>
          <t>VLOŽ JEDNOTKOVOU CENU ZHOTOVITELE ZA POLOŽKU</t>
        </r>
        <r>
          <rPr>
            <sz val="8"/>
            <color indexed="81"/>
            <rFont val="Tahoma"/>
            <family val="2"/>
            <charset val="238"/>
          </rPr>
          <t xml:space="preserve">
</t>
        </r>
      </text>
    </comment>
    <comment ref="G98" authorId="0" shapeId="0" xr:uid="{2FFAE940-16E9-4734-B481-630839782919}">
      <text>
        <r>
          <rPr>
            <b/>
            <sz val="8"/>
            <color indexed="81"/>
            <rFont val="Tahoma"/>
            <family val="2"/>
            <charset val="238"/>
          </rPr>
          <t>VLOŽ JEDNOTKOVOU CENU ZHOTOVITELE ZA POLOŽKU</t>
        </r>
        <r>
          <rPr>
            <sz val="8"/>
            <color indexed="81"/>
            <rFont val="Tahoma"/>
            <family val="2"/>
            <charset val="238"/>
          </rPr>
          <t xml:space="preserve">
</t>
        </r>
      </text>
    </comment>
    <comment ref="G101" authorId="0" shapeId="0" xr:uid="{0A47BFA4-078E-4848-B44C-B94F16B9A379}">
      <text>
        <r>
          <rPr>
            <b/>
            <sz val="8"/>
            <color indexed="81"/>
            <rFont val="Tahoma"/>
            <family val="2"/>
            <charset val="238"/>
          </rPr>
          <t>VLOŽ JEDNOTKOVOU CENU ZHOTOVITELE ZA POLOŽKU</t>
        </r>
        <r>
          <rPr>
            <sz val="8"/>
            <color indexed="81"/>
            <rFont val="Tahoma"/>
            <family val="2"/>
            <charset val="238"/>
          </rPr>
          <t xml:space="preserve">
</t>
        </r>
      </text>
    </comment>
    <comment ref="G103" authorId="0" shapeId="0" xr:uid="{BCCC9B1C-FDB9-41B6-BC6C-2BCB3828D28E}">
      <text>
        <r>
          <rPr>
            <b/>
            <sz val="8"/>
            <color indexed="81"/>
            <rFont val="Tahoma"/>
            <family val="2"/>
            <charset val="238"/>
          </rPr>
          <t>VLOŽ JEDNOTKOVOU CENU ZHOTOVITELE ZA POLOŽKU</t>
        </r>
        <r>
          <rPr>
            <sz val="8"/>
            <color indexed="81"/>
            <rFont val="Tahoma"/>
            <family val="2"/>
            <charset val="238"/>
          </rPr>
          <t xml:space="preserve">
</t>
        </r>
      </text>
    </comment>
    <comment ref="G105" authorId="0" shapeId="0" xr:uid="{066B22A8-3FCB-47C2-BE72-5483BCB733D6}">
      <text>
        <r>
          <rPr>
            <b/>
            <sz val="8"/>
            <color indexed="81"/>
            <rFont val="Tahoma"/>
            <family val="2"/>
            <charset val="238"/>
          </rPr>
          <t>VLOŽ JEDNOTKOVOU CENU ZHOTOVITELE ZA POLOŽKU</t>
        </r>
        <r>
          <rPr>
            <sz val="8"/>
            <color indexed="81"/>
            <rFont val="Tahoma"/>
            <family val="2"/>
            <charset val="238"/>
          </rPr>
          <t xml:space="preserve">
</t>
        </r>
      </text>
    </comment>
    <comment ref="G107" authorId="0" shapeId="0" xr:uid="{195DEF0A-CC43-4096-A76F-1F5C6FBFDD61}">
      <text>
        <r>
          <rPr>
            <b/>
            <sz val="8"/>
            <color indexed="81"/>
            <rFont val="Tahoma"/>
            <family val="2"/>
            <charset val="238"/>
          </rPr>
          <t>VLOŽ JEDNOTKOVOU CENU ZHOTOVITELE ZA POLOŽKU</t>
        </r>
        <r>
          <rPr>
            <sz val="8"/>
            <color indexed="81"/>
            <rFont val="Tahoma"/>
            <family val="2"/>
            <charset val="238"/>
          </rPr>
          <t xml:space="preserve">
</t>
        </r>
      </text>
    </comment>
    <comment ref="G109" authorId="0" shapeId="0" xr:uid="{79CE6415-0CDC-4AA3-8EAB-96A5243AF711}">
      <text>
        <r>
          <rPr>
            <b/>
            <sz val="8"/>
            <color indexed="81"/>
            <rFont val="Tahoma"/>
            <family val="2"/>
            <charset val="238"/>
          </rPr>
          <t>VLOŽ JEDNOTKOVOU CENU ZHOTOVITELE ZA POLOŽKU</t>
        </r>
        <r>
          <rPr>
            <sz val="8"/>
            <color indexed="81"/>
            <rFont val="Tahoma"/>
            <family val="2"/>
            <charset val="238"/>
          </rPr>
          <t xml:space="preserve">
</t>
        </r>
      </text>
    </comment>
    <comment ref="G112" authorId="0" shapeId="0" xr:uid="{FE76D16F-71D4-4C03-9868-D719D34C35BF}">
      <text>
        <r>
          <rPr>
            <b/>
            <sz val="8"/>
            <color indexed="81"/>
            <rFont val="Tahoma"/>
            <family val="2"/>
            <charset val="238"/>
          </rPr>
          <t>VLOŽ JEDNOTKOVOU CENU ZHOTOVITELE ZA POLOŽKU</t>
        </r>
        <r>
          <rPr>
            <sz val="8"/>
            <color indexed="81"/>
            <rFont val="Tahoma"/>
            <family val="2"/>
            <charset val="238"/>
          </rPr>
          <t xml:space="preserve">
</t>
        </r>
      </text>
    </comment>
    <comment ref="G114" authorId="0" shapeId="0" xr:uid="{95BE056A-AB80-4DD5-BC52-71EAAE97207F}">
      <text>
        <r>
          <rPr>
            <b/>
            <sz val="8"/>
            <color indexed="81"/>
            <rFont val="Tahoma"/>
            <family val="2"/>
            <charset val="238"/>
          </rPr>
          <t>VLOŽ JEDNOTKOVOU CENU ZHOTOVITELE ZA POLOŽKU</t>
        </r>
        <r>
          <rPr>
            <sz val="8"/>
            <color indexed="81"/>
            <rFont val="Tahoma"/>
            <family val="2"/>
            <charset val="238"/>
          </rPr>
          <t xml:space="preserve">
</t>
        </r>
      </text>
    </comment>
    <comment ref="G116" authorId="0" shapeId="0" xr:uid="{0CC66DD0-5E1C-4536-8C98-72E1568AF81C}">
      <text>
        <r>
          <rPr>
            <b/>
            <sz val="8"/>
            <color indexed="81"/>
            <rFont val="Tahoma"/>
            <family val="2"/>
            <charset val="238"/>
          </rPr>
          <t>VLOŽ JEDNOTKOVOU CENU ZHOTOVITELE ZA POLOŽKU</t>
        </r>
        <r>
          <rPr>
            <sz val="8"/>
            <color indexed="81"/>
            <rFont val="Tahoma"/>
            <family val="2"/>
            <charset val="238"/>
          </rPr>
          <t xml:space="preserve">
</t>
        </r>
      </text>
    </comment>
    <comment ref="G118" authorId="0" shapeId="0" xr:uid="{C9F5A28B-4D9C-4233-8D71-C4152840829A}">
      <text>
        <r>
          <rPr>
            <b/>
            <sz val="8"/>
            <color indexed="81"/>
            <rFont val="Tahoma"/>
            <family val="2"/>
            <charset val="238"/>
          </rPr>
          <t>VLOŽ JEDNOTKOVOU CENU ZHOTOVITELE ZA POLOŽKU</t>
        </r>
        <r>
          <rPr>
            <sz val="8"/>
            <color indexed="81"/>
            <rFont val="Tahoma"/>
            <family val="2"/>
            <charset val="238"/>
          </rPr>
          <t xml:space="preserve">
</t>
        </r>
      </text>
    </comment>
    <comment ref="G120" authorId="0" shapeId="0" xr:uid="{5B1BCE22-949B-4B97-A682-2679E031A5DF}">
      <text>
        <r>
          <rPr>
            <b/>
            <sz val="8"/>
            <color indexed="81"/>
            <rFont val="Tahoma"/>
            <family val="2"/>
            <charset val="238"/>
          </rPr>
          <t>VLOŽ JEDNOTKOVOU CENU ZHOTOVITELE ZA POLOŽKU</t>
        </r>
        <r>
          <rPr>
            <sz val="8"/>
            <color indexed="81"/>
            <rFont val="Tahoma"/>
            <family val="2"/>
            <charset val="238"/>
          </rPr>
          <t xml:space="preserve">
</t>
        </r>
      </text>
    </comment>
    <comment ref="G122" authorId="0" shapeId="0" xr:uid="{9C1F26D2-C1B8-47FA-929B-85B37FE3A6D6}">
      <text>
        <r>
          <rPr>
            <b/>
            <sz val="8"/>
            <color indexed="81"/>
            <rFont val="Tahoma"/>
            <family val="2"/>
            <charset val="238"/>
          </rPr>
          <t>VLOŽ JEDNOTKOVOU CENU ZHOTOVITELE ZA POLOŽKU</t>
        </r>
        <r>
          <rPr>
            <sz val="8"/>
            <color indexed="81"/>
            <rFont val="Tahoma"/>
            <family val="2"/>
            <charset val="238"/>
          </rPr>
          <t xml:space="preserve">
</t>
        </r>
      </text>
    </comment>
    <comment ref="G124" authorId="0" shapeId="0" xr:uid="{AA39598E-F6DF-4558-965D-A7246D29621E}">
      <text>
        <r>
          <rPr>
            <b/>
            <sz val="8"/>
            <color indexed="81"/>
            <rFont val="Tahoma"/>
            <family val="2"/>
            <charset val="238"/>
          </rPr>
          <t>VLOŽ JEDNOTKOVOU CENU ZHOTOVITELE ZA POLOŽKU</t>
        </r>
        <r>
          <rPr>
            <sz val="8"/>
            <color indexed="81"/>
            <rFont val="Tahoma"/>
            <family val="2"/>
            <charset val="238"/>
          </rPr>
          <t xml:space="preserve">
</t>
        </r>
      </text>
    </comment>
    <comment ref="G126" authorId="0" shapeId="0" xr:uid="{728635A8-003A-4B8F-BCBE-8349393CA28E}">
      <text>
        <r>
          <rPr>
            <b/>
            <sz val="8"/>
            <color indexed="81"/>
            <rFont val="Tahoma"/>
            <family val="2"/>
            <charset val="238"/>
          </rPr>
          <t>VLOŽ JEDNOTKOVOU CENU ZHOTOVITELE ZA POLOŽKU</t>
        </r>
        <r>
          <rPr>
            <sz val="8"/>
            <color indexed="81"/>
            <rFont val="Tahoma"/>
            <family val="2"/>
            <charset val="238"/>
          </rPr>
          <t xml:space="preserve">
</t>
        </r>
      </text>
    </comment>
    <comment ref="G128" authorId="0" shapeId="0" xr:uid="{E9D33954-9CCE-4466-A3A7-867932A0BC57}">
      <text>
        <r>
          <rPr>
            <b/>
            <sz val="8"/>
            <color indexed="81"/>
            <rFont val="Tahoma"/>
            <family val="2"/>
            <charset val="238"/>
          </rPr>
          <t>VLOŽ JEDNOTKOVOU CENU ZHOTOVITELE ZA POLOŽKU</t>
        </r>
        <r>
          <rPr>
            <sz val="8"/>
            <color indexed="81"/>
            <rFont val="Tahoma"/>
            <family val="2"/>
            <charset val="238"/>
          </rPr>
          <t xml:space="preserve">
</t>
        </r>
      </text>
    </comment>
    <comment ref="G130" authorId="0" shapeId="0" xr:uid="{BF59D3C3-BBA5-418F-85B9-E7954CC37A81}">
      <text>
        <r>
          <rPr>
            <b/>
            <sz val="8"/>
            <color indexed="81"/>
            <rFont val="Tahoma"/>
            <family val="2"/>
            <charset val="238"/>
          </rPr>
          <t>VLOŽ JEDNOTKOVOU CENU ZHOTOVITELE ZA POLOŽKU</t>
        </r>
        <r>
          <rPr>
            <sz val="8"/>
            <color indexed="81"/>
            <rFont val="Tahoma"/>
            <family val="2"/>
            <charset val="238"/>
          </rPr>
          <t xml:space="preserve">
</t>
        </r>
      </text>
    </comment>
    <comment ref="G132" authorId="0" shapeId="0" xr:uid="{42738EF2-948E-45E1-8947-900EB20770E4}">
      <text>
        <r>
          <rPr>
            <b/>
            <sz val="8"/>
            <color indexed="81"/>
            <rFont val="Tahoma"/>
            <family val="2"/>
            <charset val="238"/>
          </rPr>
          <t>VLOŽ JEDNOTKOVOU CENU ZHOTOVITELE ZA POLOŽKU</t>
        </r>
        <r>
          <rPr>
            <sz val="8"/>
            <color indexed="81"/>
            <rFont val="Tahoma"/>
            <family val="2"/>
            <charset val="238"/>
          </rPr>
          <t xml:space="preserve">
</t>
        </r>
      </text>
    </comment>
    <comment ref="G134" authorId="0" shapeId="0" xr:uid="{619F009C-5BDE-43E2-A050-32658B5C5F73}">
      <text>
        <r>
          <rPr>
            <b/>
            <sz val="8"/>
            <color indexed="81"/>
            <rFont val="Tahoma"/>
            <family val="2"/>
            <charset val="238"/>
          </rPr>
          <t>VLOŽ JEDNOTKOVOU CENU ZHOTOVITELE ZA POLOŽKU</t>
        </r>
        <r>
          <rPr>
            <sz val="8"/>
            <color indexed="81"/>
            <rFont val="Tahoma"/>
            <family val="2"/>
            <charset val="238"/>
          </rPr>
          <t xml:space="preserve">
</t>
        </r>
      </text>
    </comment>
    <comment ref="G136" authorId="0" shapeId="0" xr:uid="{846BEA1B-19FF-424B-9982-810DE8421DE0}">
      <text>
        <r>
          <rPr>
            <b/>
            <sz val="8"/>
            <color indexed="81"/>
            <rFont val="Tahoma"/>
            <family val="2"/>
            <charset val="238"/>
          </rPr>
          <t>VLOŽ JEDNOTKOVOU CENU ZHOTOVITELE ZA POLOŽKU</t>
        </r>
        <r>
          <rPr>
            <sz val="8"/>
            <color indexed="81"/>
            <rFont val="Tahoma"/>
            <family val="2"/>
            <charset val="238"/>
          </rPr>
          <t xml:space="preserve">
</t>
        </r>
      </text>
    </comment>
    <comment ref="G138" authorId="0" shapeId="0" xr:uid="{FCCEF0B2-332E-4066-87C1-790B5625906A}">
      <text>
        <r>
          <rPr>
            <b/>
            <sz val="8"/>
            <color indexed="81"/>
            <rFont val="Tahoma"/>
            <family val="2"/>
            <charset val="238"/>
          </rPr>
          <t>VLOŽ JEDNOTKOVOU CENU ZHOTOVITELE ZA POLOŽKU</t>
        </r>
        <r>
          <rPr>
            <sz val="8"/>
            <color indexed="81"/>
            <rFont val="Tahoma"/>
            <family val="2"/>
            <charset val="238"/>
          </rPr>
          <t xml:space="preserve">
</t>
        </r>
      </text>
    </comment>
    <comment ref="G141" authorId="0" shapeId="0" xr:uid="{D30DD3F0-4E3F-41C6-A80F-4046D344EC16}">
      <text>
        <r>
          <rPr>
            <b/>
            <sz val="8"/>
            <color indexed="81"/>
            <rFont val="Tahoma"/>
            <family val="2"/>
            <charset val="238"/>
          </rPr>
          <t>VLOŽ JEDNOTKOVOU CENU ZHOTOVITELE ZA POLOŽKU</t>
        </r>
        <r>
          <rPr>
            <sz val="8"/>
            <color indexed="81"/>
            <rFont val="Tahoma"/>
            <family val="2"/>
            <charset val="238"/>
          </rPr>
          <t xml:space="preserve">
</t>
        </r>
      </text>
    </comment>
    <comment ref="G142" authorId="0" shapeId="0" xr:uid="{92C38FC3-8F1B-41B4-99FB-63DB293DFDCB}">
      <text>
        <r>
          <rPr>
            <b/>
            <sz val="8"/>
            <color indexed="81"/>
            <rFont val="Tahoma"/>
            <family val="2"/>
            <charset val="238"/>
          </rPr>
          <t>VLOŽ JEDNOTKOVOU CENU ZHOTOVITELE ZA POLOŽKU</t>
        </r>
        <r>
          <rPr>
            <sz val="8"/>
            <color indexed="81"/>
            <rFont val="Tahoma"/>
            <family val="2"/>
            <charset val="238"/>
          </rPr>
          <t xml:space="preserve">
</t>
        </r>
      </text>
    </comment>
    <comment ref="G144" authorId="0" shapeId="0" xr:uid="{9C6D94EF-FFC5-484F-8A98-36A8B40FD792}">
      <text>
        <r>
          <rPr>
            <b/>
            <sz val="8"/>
            <color indexed="81"/>
            <rFont val="Tahoma"/>
            <family val="2"/>
            <charset val="238"/>
          </rPr>
          <t>VLOŽ JEDNOTKOVOU CENU ZHOTOVITELE ZA POLOŽKU</t>
        </r>
        <r>
          <rPr>
            <sz val="8"/>
            <color indexed="81"/>
            <rFont val="Tahoma"/>
            <family val="2"/>
            <charset val="238"/>
          </rPr>
          <t xml:space="preserve">
</t>
        </r>
      </text>
    </comment>
    <comment ref="G146" authorId="0" shapeId="0" xr:uid="{0C20440B-6D05-4984-A1CB-0F27B9679488}">
      <text>
        <r>
          <rPr>
            <b/>
            <sz val="8"/>
            <color indexed="81"/>
            <rFont val="Tahoma"/>
            <family val="2"/>
            <charset val="238"/>
          </rPr>
          <t>VLOŽ JEDNOTKOVOU CENU ZHOTOVITELE ZA POLOŽKU</t>
        </r>
        <r>
          <rPr>
            <sz val="8"/>
            <color indexed="81"/>
            <rFont val="Tahoma"/>
            <family val="2"/>
            <charset val="238"/>
          </rPr>
          <t xml:space="preserve">
</t>
        </r>
      </text>
    </comment>
    <comment ref="G148" authorId="0" shapeId="0" xr:uid="{4C0B4E83-98B1-445C-A495-16D2B00A4D3F}">
      <text>
        <r>
          <rPr>
            <b/>
            <sz val="8"/>
            <color indexed="81"/>
            <rFont val="Tahoma"/>
            <family val="2"/>
            <charset val="238"/>
          </rPr>
          <t>VLOŽ JEDNOTKOVOU CENU ZHOTOVITELE ZA POLOŽKU</t>
        </r>
        <r>
          <rPr>
            <sz val="8"/>
            <color indexed="81"/>
            <rFont val="Tahoma"/>
            <family val="2"/>
            <charset val="238"/>
          </rPr>
          <t xml:space="preserve">
</t>
        </r>
      </text>
    </comment>
    <comment ref="G149" authorId="0" shapeId="0" xr:uid="{F60DFA0D-1425-4F9E-AF1D-9C942822B2B6}">
      <text>
        <r>
          <rPr>
            <b/>
            <sz val="8"/>
            <color indexed="81"/>
            <rFont val="Tahoma"/>
            <family val="2"/>
            <charset val="238"/>
          </rPr>
          <t>VLOŽ JEDNOTKOVOU CENU ZHOTOVITELE ZA POLOŽKU</t>
        </r>
        <r>
          <rPr>
            <sz val="8"/>
            <color indexed="81"/>
            <rFont val="Tahoma"/>
            <family val="2"/>
            <charset val="238"/>
          </rPr>
          <t xml:space="preserve">
</t>
        </r>
      </text>
    </comment>
    <comment ref="G151" authorId="0" shapeId="0" xr:uid="{3F6DFC94-5DB4-4AF6-95ED-811EAABFE045}">
      <text>
        <r>
          <rPr>
            <b/>
            <sz val="8"/>
            <color indexed="81"/>
            <rFont val="Tahoma"/>
            <family val="2"/>
            <charset val="238"/>
          </rPr>
          <t>VLOŽ JEDNOTKOVOU CENU ZHOTOVITELE ZA POLOŽKU</t>
        </r>
        <r>
          <rPr>
            <sz val="8"/>
            <color indexed="81"/>
            <rFont val="Tahoma"/>
            <family val="2"/>
            <charset val="238"/>
          </rPr>
          <t xml:space="preserve">
</t>
        </r>
      </text>
    </comment>
    <comment ref="G153" authorId="0" shapeId="0" xr:uid="{7361DB5D-5DE6-4C4A-9189-94CCADA0980F}">
      <text>
        <r>
          <rPr>
            <b/>
            <sz val="8"/>
            <color indexed="81"/>
            <rFont val="Tahoma"/>
            <family val="2"/>
            <charset val="238"/>
          </rPr>
          <t>VLOŽ JEDNOTKOVOU CENU ZHOTOVITELE ZA POLOŽKU</t>
        </r>
        <r>
          <rPr>
            <sz val="8"/>
            <color indexed="81"/>
            <rFont val="Tahoma"/>
            <family val="2"/>
            <charset val="238"/>
          </rPr>
          <t xml:space="preserve">
</t>
        </r>
      </text>
    </comment>
    <comment ref="G155" authorId="0" shapeId="0" xr:uid="{D56B807C-F6B8-46DD-A38E-04CB2B07C2E3}">
      <text>
        <r>
          <rPr>
            <b/>
            <sz val="8"/>
            <color indexed="81"/>
            <rFont val="Tahoma"/>
            <family val="2"/>
            <charset val="238"/>
          </rPr>
          <t>VLOŽ JEDNOTKOVOU CENU ZHOTOVITELE ZA POLOŽKU</t>
        </r>
        <r>
          <rPr>
            <sz val="8"/>
            <color indexed="81"/>
            <rFont val="Tahoma"/>
            <family val="2"/>
            <charset val="238"/>
          </rPr>
          <t xml:space="preserve">
</t>
        </r>
      </text>
    </comment>
    <comment ref="G158" authorId="0" shapeId="0" xr:uid="{A1F6B537-6939-4198-8326-98802E5028F8}">
      <text>
        <r>
          <rPr>
            <b/>
            <sz val="8"/>
            <color indexed="81"/>
            <rFont val="Tahoma"/>
            <family val="2"/>
            <charset val="238"/>
          </rPr>
          <t>VLOŽ JEDNOTKOVOU CENU ZHOTOVITELE ZA POLOŽKU</t>
        </r>
        <r>
          <rPr>
            <sz val="8"/>
            <color indexed="81"/>
            <rFont val="Tahoma"/>
            <family val="2"/>
            <charset val="238"/>
          </rPr>
          <t xml:space="preserve">
</t>
        </r>
      </text>
    </comment>
    <comment ref="G161" authorId="0" shapeId="0" xr:uid="{441CFF26-A3C0-4922-9CE4-ED6242C0D7A3}">
      <text>
        <r>
          <rPr>
            <b/>
            <sz val="8"/>
            <color indexed="81"/>
            <rFont val="Tahoma"/>
            <family val="2"/>
            <charset val="238"/>
          </rPr>
          <t>VLOŽ JEDNOTKOVOU CENU ZHOTOVITELE ZA POLOŽKU</t>
        </r>
        <r>
          <rPr>
            <sz val="8"/>
            <color indexed="81"/>
            <rFont val="Tahoma"/>
            <family val="2"/>
            <charset val="238"/>
          </rPr>
          <t xml:space="preserve">
</t>
        </r>
      </text>
    </comment>
    <comment ref="G164" authorId="0" shapeId="0" xr:uid="{808CFFAA-CC78-4390-A3C6-F986D6186A50}">
      <text>
        <r>
          <rPr>
            <b/>
            <sz val="8"/>
            <color indexed="81"/>
            <rFont val="Tahoma"/>
            <family val="2"/>
            <charset val="238"/>
          </rPr>
          <t>VLOŽ JEDNOTKOVOU CENU ZHOTOVITELE ZA POLOŽKU</t>
        </r>
        <r>
          <rPr>
            <sz val="8"/>
            <color indexed="81"/>
            <rFont val="Tahoma"/>
            <family val="2"/>
            <charset val="238"/>
          </rPr>
          <t xml:space="preserve">
</t>
        </r>
      </text>
    </comment>
    <comment ref="G166" authorId="0" shapeId="0" xr:uid="{29A01CDB-208F-4E8E-A26A-53DB00E8F0A1}">
      <text>
        <r>
          <rPr>
            <b/>
            <sz val="8"/>
            <color indexed="81"/>
            <rFont val="Tahoma"/>
            <family val="2"/>
            <charset val="238"/>
          </rPr>
          <t>VLOŽ JEDNOTKOVOU CENU ZHOTOVITELE ZA POLOŽKU</t>
        </r>
        <r>
          <rPr>
            <sz val="8"/>
            <color indexed="81"/>
            <rFont val="Tahoma"/>
            <family val="2"/>
            <charset val="238"/>
          </rPr>
          <t xml:space="preserve">
</t>
        </r>
      </text>
    </comment>
    <comment ref="G168" authorId="0" shapeId="0" xr:uid="{2D11BC28-2251-4D35-94B3-C8161115BCCE}">
      <text>
        <r>
          <rPr>
            <b/>
            <sz val="8"/>
            <color indexed="81"/>
            <rFont val="Tahoma"/>
            <family val="2"/>
            <charset val="238"/>
          </rPr>
          <t>VLOŽ JEDNOTKOVOU CENU ZHOTOVITELE ZA POLOŽKU</t>
        </r>
        <r>
          <rPr>
            <sz val="8"/>
            <color indexed="81"/>
            <rFont val="Tahoma"/>
            <family val="2"/>
            <charset val="238"/>
          </rPr>
          <t xml:space="preserve">
</t>
        </r>
      </text>
    </comment>
    <comment ref="G171" authorId="0" shapeId="0" xr:uid="{B167265A-BF39-4B2C-85B9-62659118BDF7}">
      <text>
        <r>
          <rPr>
            <b/>
            <sz val="8"/>
            <color indexed="81"/>
            <rFont val="Tahoma"/>
            <family val="2"/>
            <charset val="238"/>
          </rPr>
          <t>VLOŽ JEDNOTKOVOU CENU ZHOTOVITELE ZA POLOŽKU</t>
        </r>
        <r>
          <rPr>
            <sz val="8"/>
            <color indexed="81"/>
            <rFont val="Tahoma"/>
            <family val="2"/>
            <charset val="238"/>
          </rPr>
          <t xml:space="preserve">
</t>
        </r>
      </text>
    </comment>
    <comment ref="G173" authorId="0" shapeId="0" xr:uid="{C212C364-D562-41DB-80FD-1877B8B289DC}">
      <text>
        <r>
          <rPr>
            <b/>
            <sz val="8"/>
            <color indexed="81"/>
            <rFont val="Tahoma"/>
            <family val="2"/>
            <charset val="238"/>
          </rPr>
          <t>VLOŽ JEDNOTKOVOU CENU ZHOTOVITELE ZA POLOŽKU</t>
        </r>
        <r>
          <rPr>
            <sz val="8"/>
            <color indexed="81"/>
            <rFont val="Tahoma"/>
            <family val="2"/>
            <charset val="238"/>
          </rPr>
          <t xml:space="preserve">
</t>
        </r>
      </text>
    </comment>
    <comment ref="G174" authorId="0" shapeId="0" xr:uid="{E7FD0079-5AA7-467A-B7D3-F91130628851}">
      <text>
        <r>
          <rPr>
            <b/>
            <sz val="8"/>
            <color indexed="81"/>
            <rFont val="Tahoma"/>
            <family val="2"/>
            <charset val="238"/>
          </rPr>
          <t>VLOŽ JEDNOTKOVOU CENU ZHOTOVITELE ZA POLOŽKU</t>
        </r>
        <r>
          <rPr>
            <sz val="8"/>
            <color indexed="81"/>
            <rFont val="Tahoma"/>
            <family val="2"/>
            <charset val="238"/>
          </rPr>
          <t xml:space="preserve">
</t>
        </r>
      </text>
    </comment>
    <comment ref="G175" authorId="0" shapeId="0" xr:uid="{89695B68-B939-4EA7-8A5B-B3CD85F40EF3}">
      <text>
        <r>
          <rPr>
            <b/>
            <sz val="8"/>
            <color indexed="81"/>
            <rFont val="Tahoma"/>
            <family val="2"/>
            <charset val="238"/>
          </rPr>
          <t>VLOŽ JEDNOTKOVOU CENU ZHOTOVITELE ZA POLOŽKU</t>
        </r>
        <r>
          <rPr>
            <sz val="8"/>
            <color indexed="81"/>
            <rFont val="Tahoma"/>
            <family val="2"/>
            <charset val="238"/>
          </rPr>
          <t xml:space="preserve">
</t>
        </r>
      </text>
    </comment>
    <comment ref="G176" authorId="0" shapeId="0" xr:uid="{0349CAF8-6FE9-40AF-9D29-5562E1A4566E}">
      <text>
        <r>
          <rPr>
            <b/>
            <sz val="8"/>
            <color indexed="81"/>
            <rFont val="Tahoma"/>
            <family val="2"/>
            <charset val="238"/>
          </rPr>
          <t>VLOŽ JEDNOTKOVOU CENU ZHOTOVITELE ZA POLOŽKU</t>
        </r>
        <r>
          <rPr>
            <sz val="8"/>
            <color indexed="81"/>
            <rFont val="Tahoma"/>
            <family val="2"/>
            <charset val="238"/>
          </rPr>
          <t xml:space="preserve">
</t>
        </r>
      </text>
    </comment>
    <comment ref="G177" authorId="0" shapeId="0" xr:uid="{98BAFF4B-1933-46C7-BAE7-0AE384A88BCD}">
      <text>
        <r>
          <rPr>
            <b/>
            <sz val="8"/>
            <color indexed="81"/>
            <rFont val="Tahoma"/>
            <family val="2"/>
            <charset val="238"/>
          </rPr>
          <t>VLOŽ JEDNOTKOVOU CENU ZHOTOVITELE ZA POLOŽKU</t>
        </r>
        <r>
          <rPr>
            <sz val="8"/>
            <color indexed="81"/>
            <rFont val="Tahoma"/>
            <family val="2"/>
            <charset val="238"/>
          </rPr>
          <t xml:space="preserve">
</t>
        </r>
      </text>
    </comment>
    <comment ref="G178" authorId="0" shapeId="0" xr:uid="{8037BB86-7E2B-4218-B0DA-B99EE814FAFA}">
      <text>
        <r>
          <rPr>
            <b/>
            <sz val="8"/>
            <color indexed="81"/>
            <rFont val="Tahoma"/>
            <family val="2"/>
            <charset val="238"/>
          </rPr>
          <t>VLOŽ JEDNOTKOVOU CENU ZHOTOVITELE ZA POLOŽKU</t>
        </r>
        <r>
          <rPr>
            <sz val="8"/>
            <color indexed="81"/>
            <rFont val="Tahoma"/>
            <family val="2"/>
            <charset val="238"/>
          </rPr>
          <t xml:space="preserve">
</t>
        </r>
      </text>
    </comment>
    <comment ref="G179" authorId="0" shapeId="0" xr:uid="{279462A4-4346-4838-B122-52DA02ED51BC}">
      <text>
        <r>
          <rPr>
            <b/>
            <sz val="8"/>
            <color indexed="81"/>
            <rFont val="Tahoma"/>
            <family val="2"/>
            <charset val="238"/>
          </rPr>
          <t>VLOŽ JEDNOTKOVOU CENU ZHOTOVITELE ZA POLOŽKU</t>
        </r>
        <r>
          <rPr>
            <sz val="8"/>
            <color indexed="81"/>
            <rFont val="Tahoma"/>
            <family val="2"/>
            <charset val="238"/>
          </rPr>
          <t xml:space="preserve">
</t>
        </r>
      </text>
    </comment>
    <comment ref="G180" authorId="0" shapeId="0" xr:uid="{BE44C0AE-86E6-4E05-B9DD-8AAFF662F574}">
      <text>
        <r>
          <rPr>
            <b/>
            <sz val="8"/>
            <color indexed="81"/>
            <rFont val="Tahoma"/>
            <family val="2"/>
            <charset val="238"/>
          </rPr>
          <t>VLOŽ JEDNOTKOVOU CENU ZHOTOVITELE ZA POLOŽKU</t>
        </r>
        <r>
          <rPr>
            <sz val="8"/>
            <color indexed="81"/>
            <rFont val="Tahoma"/>
            <family val="2"/>
            <charset val="238"/>
          </rPr>
          <t xml:space="preserve">
</t>
        </r>
      </text>
    </comment>
    <comment ref="G181" authorId="0" shapeId="0" xr:uid="{96E73C4E-8835-4A25-878E-258014EC8D53}">
      <text>
        <r>
          <rPr>
            <b/>
            <sz val="8"/>
            <color indexed="81"/>
            <rFont val="Tahoma"/>
            <family val="2"/>
            <charset val="238"/>
          </rPr>
          <t>VLOŽ JEDNOTKOVOU CENU ZHOTOVITELE ZA POLOŽKU</t>
        </r>
        <r>
          <rPr>
            <sz val="8"/>
            <color indexed="81"/>
            <rFont val="Tahoma"/>
            <family val="2"/>
            <charset val="238"/>
          </rPr>
          <t xml:space="preserve">
</t>
        </r>
      </text>
    </comment>
    <comment ref="G182" authorId="0" shapeId="0" xr:uid="{0718605D-9752-4BEE-817D-591E8E9EEFB5}">
      <text>
        <r>
          <rPr>
            <b/>
            <sz val="8"/>
            <color indexed="81"/>
            <rFont val="Tahoma"/>
            <family val="2"/>
            <charset val="238"/>
          </rPr>
          <t>VLOŽ JEDNOTKOVOU CENU ZHOTOVITELE ZA POLOŽKU</t>
        </r>
        <r>
          <rPr>
            <sz val="8"/>
            <color indexed="81"/>
            <rFont val="Tahoma"/>
            <family val="2"/>
            <charset val="238"/>
          </rPr>
          <t xml:space="preserve">
</t>
        </r>
      </text>
    </comment>
    <comment ref="G183" authorId="0" shapeId="0" xr:uid="{3B512D3B-7C3C-4CFF-A548-703333DF2865}">
      <text>
        <r>
          <rPr>
            <b/>
            <sz val="8"/>
            <color indexed="81"/>
            <rFont val="Tahoma"/>
            <family val="2"/>
            <charset val="238"/>
          </rPr>
          <t>VLOŽ JEDNOTKOVOU CENU ZHOTOVITELE ZA POLOŽKU</t>
        </r>
        <r>
          <rPr>
            <sz val="8"/>
            <color indexed="81"/>
            <rFont val="Tahoma"/>
            <family val="2"/>
            <charset val="238"/>
          </rPr>
          <t xml:space="preserve">
</t>
        </r>
      </text>
    </comment>
    <comment ref="G184" authorId="0" shapeId="0" xr:uid="{13F5056C-A0D8-4FE3-B386-384FEBFFDC9E}">
      <text>
        <r>
          <rPr>
            <b/>
            <sz val="8"/>
            <color indexed="81"/>
            <rFont val="Tahoma"/>
            <family val="2"/>
            <charset val="238"/>
          </rPr>
          <t>VLOŽ JEDNOTKOVOU CENU ZHOTOVITELE ZA POLOŽKU</t>
        </r>
        <r>
          <rPr>
            <sz val="8"/>
            <color indexed="81"/>
            <rFont val="Tahoma"/>
            <family val="2"/>
            <charset val="238"/>
          </rPr>
          <t xml:space="preserve">
</t>
        </r>
      </text>
    </comment>
    <comment ref="G185" authorId="0" shapeId="0" xr:uid="{327B4BA6-AC97-41B4-B8EE-95BD5992848F}">
      <text>
        <r>
          <rPr>
            <b/>
            <sz val="8"/>
            <color indexed="81"/>
            <rFont val="Tahoma"/>
            <family val="2"/>
            <charset val="238"/>
          </rPr>
          <t>VLOŽ JEDNOTKOVOU CENU ZHOTOVITELE ZA POLOŽKU</t>
        </r>
        <r>
          <rPr>
            <sz val="8"/>
            <color indexed="81"/>
            <rFont val="Tahoma"/>
            <family val="2"/>
            <charset val="238"/>
          </rPr>
          <t xml:space="preserve">
</t>
        </r>
      </text>
    </comment>
    <comment ref="G186" authorId="0" shapeId="0" xr:uid="{F1FC99F3-1415-44EA-821A-1E418C53AADA}">
      <text>
        <r>
          <rPr>
            <b/>
            <sz val="8"/>
            <color indexed="81"/>
            <rFont val="Tahoma"/>
            <family val="2"/>
            <charset val="238"/>
          </rPr>
          <t>VLOŽ JEDNOTKOVOU CENU ZHOTOVITELE ZA POLOŽKU</t>
        </r>
        <r>
          <rPr>
            <sz val="8"/>
            <color indexed="81"/>
            <rFont val="Tahoma"/>
            <family val="2"/>
            <charset val="238"/>
          </rPr>
          <t xml:space="preserve">
</t>
        </r>
      </text>
    </comment>
    <comment ref="G187" authorId="0" shapeId="0" xr:uid="{A9CD2727-C6EA-4493-AA06-0D9E3C32BC3E}">
      <text>
        <r>
          <rPr>
            <b/>
            <sz val="8"/>
            <color indexed="81"/>
            <rFont val="Tahoma"/>
            <family val="2"/>
            <charset val="238"/>
          </rPr>
          <t>VLOŽ JEDNOTKOVOU CENU ZHOTOVITELE ZA POLOŽKU</t>
        </r>
        <r>
          <rPr>
            <sz val="8"/>
            <color indexed="81"/>
            <rFont val="Tahoma"/>
            <family val="2"/>
            <charset val="238"/>
          </rPr>
          <t xml:space="preserve">
</t>
        </r>
      </text>
    </comment>
    <comment ref="G188" authorId="0" shapeId="0" xr:uid="{19E58CAF-326B-4275-9DA7-3ECF39B3D864}">
      <text>
        <r>
          <rPr>
            <b/>
            <sz val="8"/>
            <color indexed="81"/>
            <rFont val="Tahoma"/>
            <family val="2"/>
            <charset val="238"/>
          </rPr>
          <t>VLOŽ JEDNOTKOVOU CENU ZHOTOVITELE ZA POLOŽKU</t>
        </r>
        <r>
          <rPr>
            <sz val="8"/>
            <color indexed="81"/>
            <rFont val="Tahoma"/>
            <family val="2"/>
            <charset val="238"/>
          </rPr>
          <t xml:space="preserve">
</t>
        </r>
      </text>
    </comment>
    <comment ref="G189" authorId="0" shapeId="0" xr:uid="{0A919F7F-AEFE-49AF-950F-BE5B952B5F0E}">
      <text>
        <r>
          <rPr>
            <b/>
            <sz val="8"/>
            <color indexed="81"/>
            <rFont val="Tahoma"/>
            <family val="2"/>
            <charset val="238"/>
          </rPr>
          <t>VLOŽ JEDNOTKOVOU CENU ZHOTOVITELE ZA POLOŽKU</t>
        </r>
        <r>
          <rPr>
            <sz val="8"/>
            <color indexed="81"/>
            <rFont val="Tahoma"/>
            <family val="2"/>
            <charset val="238"/>
          </rPr>
          <t xml:space="preserve">
</t>
        </r>
      </text>
    </comment>
    <comment ref="G190" authorId="0" shapeId="0" xr:uid="{1D24F306-56F0-471E-8C4A-E6BF61AE3674}">
      <text>
        <r>
          <rPr>
            <b/>
            <sz val="8"/>
            <color indexed="81"/>
            <rFont val="Tahoma"/>
            <family val="2"/>
            <charset val="238"/>
          </rPr>
          <t>VLOŽ JEDNOTKOVOU CENU ZHOTOVITELE ZA POLOŽKU</t>
        </r>
        <r>
          <rPr>
            <sz val="8"/>
            <color indexed="81"/>
            <rFont val="Tahoma"/>
            <family val="2"/>
            <charset val="238"/>
          </rPr>
          <t xml:space="preserve">
</t>
        </r>
      </text>
    </comment>
    <comment ref="G191" authorId="0" shapeId="0" xr:uid="{0E4F41FB-CE92-43DD-9137-0A8EFE863844}">
      <text>
        <r>
          <rPr>
            <b/>
            <sz val="8"/>
            <color indexed="81"/>
            <rFont val="Tahoma"/>
            <family val="2"/>
            <charset val="238"/>
          </rPr>
          <t>VLOŽ JEDNOTKOVOU CENU ZHOTOVITELE ZA POLOŽKU</t>
        </r>
        <r>
          <rPr>
            <sz val="8"/>
            <color indexed="81"/>
            <rFont val="Tahoma"/>
            <family val="2"/>
            <charset val="238"/>
          </rPr>
          <t xml:space="preserve">
</t>
        </r>
      </text>
    </comment>
    <comment ref="G193" authorId="0" shapeId="0" xr:uid="{D3D05B6D-D272-4BBC-9EAF-4A5777A0138C}">
      <text>
        <r>
          <rPr>
            <b/>
            <sz val="8"/>
            <color indexed="81"/>
            <rFont val="Tahoma"/>
            <family val="2"/>
            <charset val="238"/>
          </rPr>
          <t>VLOŽ JEDNOTKOVOU CENU ZHOTOVITELE ZA POLOŽKU</t>
        </r>
        <r>
          <rPr>
            <sz val="8"/>
            <color indexed="81"/>
            <rFont val="Tahoma"/>
            <family val="2"/>
            <charset val="238"/>
          </rPr>
          <t xml:space="preserve">
</t>
        </r>
      </text>
    </comment>
    <comment ref="G194" authorId="0" shapeId="0" xr:uid="{1DAF4EB6-7F32-45A3-88BE-223E0346DAD7}">
      <text>
        <r>
          <rPr>
            <b/>
            <sz val="8"/>
            <color indexed="81"/>
            <rFont val="Tahoma"/>
            <family val="2"/>
            <charset val="238"/>
          </rPr>
          <t>VLOŽ JEDNOTKOVOU CENU ZHOTOVITELE ZA POLOŽKU</t>
        </r>
        <r>
          <rPr>
            <sz val="8"/>
            <color indexed="81"/>
            <rFont val="Tahoma"/>
            <family val="2"/>
            <charset val="238"/>
          </rPr>
          <t xml:space="preserve">
</t>
        </r>
      </text>
    </comment>
    <comment ref="G195" authorId="0" shapeId="0" xr:uid="{285889DB-E1C6-4EC6-8F5E-1CB3EE362106}">
      <text>
        <r>
          <rPr>
            <b/>
            <sz val="8"/>
            <color indexed="81"/>
            <rFont val="Tahoma"/>
            <family val="2"/>
            <charset val="238"/>
          </rPr>
          <t>VLOŽ JEDNOTKOVOU CENU ZHOTOVITELE ZA POLOŽKU</t>
        </r>
        <r>
          <rPr>
            <sz val="8"/>
            <color indexed="81"/>
            <rFont val="Tahoma"/>
            <family val="2"/>
            <charset val="238"/>
          </rPr>
          <t xml:space="preserve">
</t>
        </r>
      </text>
    </comment>
    <comment ref="G196" authorId="0" shapeId="0" xr:uid="{7AECE803-4DBB-4AE6-9253-FE2C2DF52294}">
      <text>
        <r>
          <rPr>
            <b/>
            <sz val="8"/>
            <color indexed="81"/>
            <rFont val="Tahoma"/>
            <family val="2"/>
            <charset val="238"/>
          </rPr>
          <t>VLOŽ JEDNOTKOVOU CENU ZHOTOVITELE ZA POLOŽKU</t>
        </r>
        <r>
          <rPr>
            <sz val="8"/>
            <color indexed="81"/>
            <rFont val="Tahoma"/>
            <family val="2"/>
            <charset val="238"/>
          </rPr>
          <t xml:space="preserve">
</t>
        </r>
      </text>
    </comment>
    <comment ref="G197" authorId="0" shapeId="0" xr:uid="{9C198435-D55D-4969-8BA6-4C6F307F9977}">
      <text>
        <r>
          <rPr>
            <b/>
            <sz val="8"/>
            <color indexed="81"/>
            <rFont val="Tahoma"/>
            <family val="2"/>
            <charset val="238"/>
          </rPr>
          <t>VLOŽ JEDNOTKOVOU CENU ZHOTOVITELE ZA POLOŽKU</t>
        </r>
        <r>
          <rPr>
            <sz val="8"/>
            <color indexed="81"/>
            <rFont val="Tahoma"/>
            <family val="2"/>
            <charset val="238"/>
          </rPr>
          <t xml:space="preserve">
</t>
        </r>
      </text>
    </comment>
    <comment ref="G198" authorId="0" shapeId="0" xr:uid="{31CD6D0D-A6CF-4F59-814E-50497478C459}">
      <text>
        <r>
          <rPr>
            <b/>
            <sz val="8"/>
            <color indexed="81"/>
            <rFont val="Tahoma"/>
            <family val="2"/>
            <charset val="238"/>
          </rPr>
          <t>VLOŽ JEDNOTKOVOU CENU ZHOTOVITELE ZA POLOŽKU</t>
        </r>
        <r>
          <rPr>
            <sz val="8"/>
            <color indexed="81"/>
            <rFont val="Tahoma"/>
            <family val="2"/>
            <charset val="238"/>
          </rPr>
          <t xml:space="preserve">
</t>
        </r>
      </text>
    </comment>
    <comment ref="G199" authorId="0" shapeId="0" xr:uid="{B354A004-8155-4A2E-8BB9-5208EFE60671}">
      <text>
        <r>
          <rPr>
            <b/>
            <sz val="8"/>
            <color indexed="81"/>
            <rFont val="Tahoma"/>
            <family val="2"/>
            <charset val="238"/>
          </rPr>
          <t>VLOŽ JEDNOTKOVOU CENU ZHOTOVITELE ZA POLOŽKU</t>
        </r>
        <r>
          <rPr>
            <sz val="8"/>
            <color indexed="81"/>
            <rFont val="Tahoma"/>
            <family val="2"/>
            <charset val="238"/>
          </rPr>
          <t xml:space="preserve">
</t>
        </r>
      </text>
    </comment>
    <comment ref="G200" authorId="0" shapeId="0" xr:uid="{96E27BDC-501C-4695-B9B6-37DD8337ABFC}">
      <text>
        <r>
          <rPr>
            <b/>
            <sz val="8"/>
            <color indexed="81"/>
            <rFont val="Tahoma"/>
            <family val="2"/>
            <charset val="238"/>
          </rPr>
          <t>VLOŽ JEDNOTKOVOU CENU ZHOTOVITELE ZA POLOŽKU</t>
        </r>
        <r>
          <rPr>
            <sz val="8"/>
            <color indexed="81"/>
            <rFont val="Tahoma"/>
            <family val="2"/>
            <charset val="238"/>
          </rPr>
          <t xml:space="preserve">
</t>
        </r>
      </text>
    </comment>
    <comment ref="G202" authorId="0" shapeId="0" xr:uid="{22F5F4ED-4ECB-49B4-BCCB-C5FD1A678699}">
      <text>
        <r>
          <rPr>
            <b/>
            <sz val="8"/>
            <color indexed="81"/>
            <rFont val="Tahoma"/>
            <family val="2"/>
            <charset val="238"/>
          </rPr>
          <t>VLOŽ JEDNOTKOVOU CENU ZHOTOVITELE ZA POLOŽKU</t>
        </r>
        <r>
          <rPr>
            <sz val="8"/>
            <color indexed="81"/>
            <rFont val="Tahoma"/>
            <family val="2"/>
            <charset val="238"/>
          </rPr>
          <t xml:space="preserve">
</t>
        </r>
      </text>
    </comment>
    <comment ref="G203" authorId="0" shapeId="0" xr:uid="{F88AB22E-9D11-4100-94D8-89E8AA37BA60}">
      <text>
        <r>
          <rPr>
            <b/>
            <sz val="8"/>
            <color indexed="81"/>
            <rFont val="Tahoma"/>
            <family val="2"/>
            <charset val="238"/>
          </rPr>
          <t>VLOŽ JEDNOTKOVOU CENU ZHOTOVITELE ZA POLOŽKU</t>
        </r>
        <r>
          <rPr>
            <sz val="8"/>
            <color indexed="81"/>
            <rFont val="Tahoma"/>
            <family val="2"/>
            <charset val="238"/>
          </rPr>
          <t xml:space="preserve">
</t>
        </r>
      </text>
    </comment>
    <comment ref="G204" authorId="0" shapeId="0" xr:uid="{87DB4780-12DC-47E6-9B74-0612B3154C46}">
      <text>
        <r>
          <rPr>
            <b/>
            <sz val="8"/>
            <color indexed="81"/>
            <rFont val="Tahoma"/>
            <family val="2"/>
            <charset val="238"/>
          </rPr>
          <t>VLOŽ JEDNOTKOVOU CENU ZHOTOVITELE ZA POLOŽKU</t>
        </r>
        <r>
          <rPr>
            <sz val="8"/>
            <color indexed="81"/>
            <rFont val="Tahoma"/>
            <family val="2"/>
            <charset val="238"/>
          </rPr>
          <t xml:space="preserve">
</t>
        </r>
      </text>
    </comment>
    <comment ref="G206" authorId="0" shapeId="0" xr:uid="{8EBB90B7-C6EF-4CC4-ABCA-8F6BD8A18788}">
      <text>
        <r>
          <rPr>
            <b/>
            <sz val="8"/>
            <color indexed="81"/>
            <rFont val="Tahoma"/>
            <family val="2"/>
            <charset val="238"/>
          </rPr>
          <t>VLOŽ JEDNOTKOVOU CENU ZHOTOVITELE ZA POLOŽKU</t>
        </r>
        <r>
          <rPr>
            <sz val="8"/>
            <color indexed="81"/>
            <rFont val="Tahoma"/>
            <family val="2"/>
            <charset val="238"/>
          </rPr>
          <t xml:space="preserve">
</t>
        </r>
      </text>
    </comment>
    <comment ref="G208" authorId="0" shapeId="0" xr:uid="{3D6F8A05-F1A0-4BDA-A680-EF71EBB87313}">
      <text>
        <r>
          <rPr>
            <b/>
            <sz val="8"/>
            <color indexed="81"/>
            <rFont val="Tahoma"/>
            <family val="2"/>
            <charset val="238"/>
          </rPr>
          <t>VLOŽ JEDNOTKOVOU CENU ZHOTOVITELE ZA POLOŽKU</t>
        </r>
        <r>
          <rPr>
            <sz val="8"/>
            <color indexed="81"/>
            <rFont val="Tahoma"/>
            <family val="2"/>
            <charset val="238"/>
          </rPr>
          <t xml:space="preserve">
</t>
        </r>
      </text>
    </comment>
    <comment ref="G210" authorId="0" shapeId="0" xr:uid="{235BA1F4-AA3F-4C4D-8D7B-08AD25134627}">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0B053D57-26F1-4FC1-9907-02D8EFAEF6F9}">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9CE131ED-F333-4847-8D98-BC391EF1D453}">
      <text>
        <r>
          <rPr>
            <b/>
            <sz val="8"/>
            <color indexed="81"/>
            <rFont val="Tahoma"/>
            <family val="2"/>
            <charset val="238"/>
          </rPr>
          <t>VLOŽ JEDNOTKOVOU CENU ZHOTOVITELE ZA POLOŽKU</t>
        </r>
        <r>
          <rPr>
            <sz val="8"/>
            <color indexed="81"/>
            <rFont val="Tahoma"/>
            <family val="2"/>
            <charset val="238"/>
          </rPr>
          <t xml:space="preserve">
</t>
        </r>
      </text>
    </comment>
    <comment ref="G17" authorId="0" shapeId="0" xr:uid="{0D007F14-F35A-4E8B-9FB8-7C2DBF19AD38}">
      <text>
        <r>
          <rPr>
            <b/>
            <sz val="8"/>
            <color indexed="81"/>
            <rFont val="Tahoma"/>
            <family val="2"/>
            <charset val="238"/>
          </rPr>
          <t>VLOŽ JEDNOTKOVOU CENU ZHOTOVITELE ZA POLOŽKU</t>
        </r>
        <r>
          <rPr>
            <sz val="8"/>
            <color indexed="81"/>
            <rFont val="Tahoma"/>
            <family val="2"/>
            <charset val="238"/>
          </rPr>
          <t xml:space="preserve">
</t>
        </r>
      </text>
    </comment>
    <comment ref="G19" authorId="0" shapeId="0" xr:uid="{0F7E4839-8D22-4B63-971D-2BBC023A3207}">
      <text>
        <r>
          <rPr>
            <b/>
            <sz val="8"/>
            <color indexed="81"/>
            <rFont val="Tahoma"/>
            <family val="2"/>
            <charset val="238"/>
          </rPr>
          <t>VLOŽ JEDNOTKOVOU CENU ZHOTOVITELE ZA POLOŽKU</t>
        </r>
        <r>
          <rPr>
            <sz val="8"/>
            <color indexed="81"/>
            <rFont val="Tahoma"/>
            <family val="2"/>
            <charset val="238"/>
          </rPr>
          <t xml:space="preserve">
</t>
        </r>
      </text>
    </comment>
    <comment ref="G22" authorId="0" shapeId="0" xr:uid="{335DF178-718E-4FBE-9924-3DA04B744038}">
      <text>
        <r>
          <rPr>
            <b/>
            <sz val="8"/>
            <color indexed="81"/>
            <rFont val="Tahoma"/>
            <family val="2"/>
            <charset val="238"/>
          </rPr>
          <t>VLOŽ JEDNOTKOVOU CENU ZHOTOVITELE ZA POLOŽKU</t>
        </r>
        <r>
          <rPr>
            <sz val="8"/>
            <color indexed="81"/>
            <rFont val="Tahoma"/>
            <family val="2"/>
            <charset val="238"/>
          </rPr>
          <t xml:space="preserve">
</t>
        </r>
      </text>
    </comment>
    <comment ref="G25" authorId="0" shapeId="0" xr:uid="{1747A873-C8DE-428D-9CA3-ECD5AF9F0DC6}">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730D8FB7-72E4-468E-AFF2-EAC0B2724D76}">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0A98CA98-DE10-47EC-84B4-CE313C22F336}">
      <text>
        <r>
          <rPr>
            <b/>
            <sz val="8"/>
            <color indexed="81"/>
            <rFont val="Tahoma"/>
            <family val="2"/>
            <charset val="238"/>
          </rPr>
          <t>VLOŽ JEDNOTKOVOU CENU ZHOTOVITELE ZA POLOŽKU</t>
        </r>
        <r>
          <rPr>
            <sz val="8"/>
            <color indexed="81"/>
            <rFont val="Tahoma"/>
            <family val="2"/>
            <charset val="238"/>
          </rPr>
          <t xml:space="preserve">
</t>
        </r>
      </text>
    </comment>
    <comment ref="G31" authorId="0" shapeId="0" xr:uid="{9A277E28-2502-4354-A29A-70F98346758B}">
      <text>
        <r>
          <rPr>
            <b/>
            <sz val="8"/>
            <color indexed="81"/>
            <rFont val="Tahoma"/>
            <family val="2"/>
            <charset val="238"/>
          </rPr>
          <t>VLOŽ JEDNOTKOVOU CENU ZHOTOVITELE ZA POLOŽKU</t>
        </r>
        <r>
          <rPr>
            <sz val="8"/>
            <color indexed="81"/>
            <rFont val="Tahoma"/>
            <family val="2"/>
            <charset val="238"/>
          </rPr>
          <t xml:space="preserve">
</t>
        </r>
      </text>
    </comment>
    <comment ref="G34" authorId="0" shapeId="0" xr:uid="{EBCB9B19-5376-4304-8A9B-F96A556C705F}">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18946A3E-76EF-4A52-9DE6-B77BA01532F1}">
      <text>
        <r>
          <rPr>
            <b/>
            <sz val="8"/>
            <color indexed="81"/>
            <rFont val="Tahoma"/>
            <family val="2"/>
            <charset val="238"/>
          </rPr>
          <t>VLOŽ JEDNOTKOVOU CENU ZHOTOVITELE ZA POLOŽKU</t>
        </r>
        <r>
          <rPr>
            <sz val="8"/>
            <color indexed="81"/>
            <rFont val="Tahoma"/>
            <family val="2"/>
            <charset val="238"/>
          </rPr>
          <t xml:space="preserve">
</t>
        </r>
      </text>
    </comment>
    <comment ref="G39" authorId="0" shapeId="0" xr:uid="{0C098974-5459-4E63-8AEA-CE0436809E6C}">
      <text>
        <r>
          <rPr>
            <b/>
            <sz val="8"/>
            <color indexed="81"/>
            <rFont val="Tahoma"/>
            <family val="2"/>
            <charset val="238"/>
          </rPr>
          <t>VLOŽ JEDNOTKOVOU CENU ZHOTOVITELE ZA POLOŽKU</t>
        </r>
        <r>
          <rPr>
            <sz val="8"/>
            <color indexed="81"/>
            <rFont val="Tahoma"/>
            <family val="2"/>
            <charset val="238"/>
          </rPr>
          <t xml:space="preserve">
</t>
        </r>
      </text>
    </comment>
    <comment ref="G41" authorId="0" shapeId="0" xr:uid="{2EDC468A-B133-4E10-ADC5-898ED718045B}">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FBC2E79F-3A6A-4C53-9976-9F63F8B50E46}">
      <text>
        <r>
          <rPr>
            <b/>
            <sz val="8"/>
            <color indexed="81"/>
            <rFont val="Tahoma"/>
            <family val="2"/>
            <charset val="238"/>
          </rPr>
          <t>VLOŽ JEDNOTKOVOU CENU ZHOTOVITELE ZA POLOŽKU</t>
        </r>
        <r>
          <rPr>
            <sz val="8"/>
            <color indexed="81"/>
            <rFont val="Tahoma"/>
            <family val="2"/>
            <charset val="238"/>
          </rPr>
          <t xml:space="preserve">
</t>
        </r>
      </text>
    </comment>
    <comment ref="G45" authorId="0" shapeId="0" xr:uid="{D3865F46-1F74-4DA4-BBF8-56ADB9F0F585}">
      <text>
        <r>
          <rPr>
            <b/>
            <sz val="8"/>
            <color indexed="81"/>
            <rFont val="Tahoma"/>
            <family val="2"/>
            <charset val="238"/>
          </rPr>
          <t>VLOŽ JEDNOTKOVOU CENU ZHOTOVITELE ZA POLOŽKU</t>
        </r>
        <r>
          <rPr>
            <sz val="8"/>
            <color indexed="81"/>
            <rFont val="Tahoma"/>
            <family val="2"/>
            <charset val="238"/>
          </rPr>
          <t xml:space="preserve">
</t>
        </r>
      </text>
    </comment>
    <comment ref="G48" authorId="0" shapeId="0" xr:uid="{0DB8FDF6-9BF4-4914-AB75-A835998C375A}">
      <text>
        <r>
          <rPr>
            <b/>
            <sz val="8"/>
            <color indexed="81"/>
            <rFont val="Tahoma"/>
            <family val="2"/>
            <charset val="238"/>
          </rPr>
          <t>VLOŽ JEDNOTKOVOU CENU ZHOTOVITELE ZA POLOŽKU</t>
        </r>
        <r>
          <rPr>
            <sz val="8"/>
            <color indexed="81"/>
            <rFont val="Tahoma"/>
            <family val="2"/>
            <charset val="238"/>
          </rPr>
          <t xml:space="preserve">
</t>
        </r>
      </text>
    </comment>
    <comment ref="G50" authorId="0" shapeId="0" xr:uid="{0D88C352-38AF-480B-92AD-CF06DC7320F8}">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7C74C714-AE22-44BE-910F-E57374B20762}">
      <text>
        <r>
          <rPr>
            <b/>
            <sz val="8"/>
            <color indexed="81"/>
            <rFont val="Tahoma"/>
            <family val="2"/>
            <charset val="238"/>
          </rPr>
          <t>VLOŽ JEDNOTKOVOU CENU ZHOTOVITELE ZA POLOŽKU</t>
        </r>
        <r>
          <rPr>
            <sz val="8"/>
            <color indexed="81"/>
            <rFont val="Tahoma"/>
            <family val="2"/>
            <charset val="238"/>
          </rPr>
          <t xml:space="preserve">
</t>
        </r>
      </text>
    </comment>
    <comment ref="G55" authorId="0" shapeId="0" xr:uid="{815CC791-1ADB-48B1-8BC2-FEC74A9EE78E}">
      <text>
        <r>
          <rPr>
            <b/>
            <sz val="8"/>
            <color indexed="81"/>
            <rFont val="Tahoma"/>
            <family val="2"/>
            <charset val="238"/>
          </rPr>
          <t>VLOŽ JEDNOTKOVOU CENU ZHOTOVITELE ZA POLOŽKU</t>
        </r>
        <r>
          <rPr>
            <sz val="8"/>
            <color indexed="81"/>
            <rFont val="Tahoma"/>
            <family val="2"/>
            <charset val="238"/>
          </rPr>
          <t xml:space="preserve">
</t>
        </r>
      </text>
    </comment>
    <comment ref="G58" authorId="0" shapeId="0" xr:uid="{15F653A7-0848-4F45-8DC7-54D06050C158}">
      <text>
        <r>
          <rPr>
            <b/>
            <sz val="8"/>
            <color indexed="81"/>
            <rFont val="Tahoma"/>
            <family val="2"/>
            <charset val="238"/>
          </rPr>
          <t>VLOŽ JEDNOTKOVOU CENU ZHOTOVITELE ZA POLOŽKU</t>
        </r>
        <r>
          <rPr>
            <sz val="8"/>
            <color indexed="81"/>
            <rFont val="Tahoma"/>
            <family val="2"/>
            <charset val="238"/>
          </rPr>
          <t xml:space="preserve">
</t>
        </r>
      </text>
    </comment>
    <comment ref="G61" authorId="0" shapeId="0" xr:uid="{DC995037-55FE-4629-BD4D-750142992A09}">
      <text>
        <r>
          <rPr>
            <b/>
            <sz val="8"/>
            <color indexed="81"/>
            <rFont val="Tahoma"/>
            <family val="2"/>
            <charset val="238"/>
          </rPr>
          <t>VLOŽ JEDNOTKOVOU CENU ZHOTOVITELE ZA POLOŽKU</t>
        </r>
        <r>
          <rPr>
            <sz val="8"/>
            <color indexed="81"/>
            <rFont val="Tahoma"/>
            <family val="2"/>
            <charset val="238"/>
          </rPr>
          <t xml:space="preserve">
</t>
        </r>
      </text>
    </comment>
    <comment ref="G64" authorId="0" shapeId="0" xr:uid="{4CB3DF2E-1FE3-4A60-AFCC-0D3AF4B35374}">
      <text>
        <r>
          <rPr>
            <b/>
            <sz val="8"/>
            <color indexed="81"/>
            <rFont val="Tahoma"/>
            <family val="2"/>
            <charset val="238"/>
          </rPr>
          <t>VLOŽ JEDNOTKOVOU CENU ZHOTOVITELE ZA POLOŽKU</t>
        </r>
        <r>
          <rPr>
            <sz val="8"/>
            <color indexed="81"/>
            <rFont val="Tahoma"/>
            <family val="2"/>
            <charset val="238"/>
          </rPr>
          <t xml:space="preserve">
</t>
        </r>
      </text>
    </comment>
    <comment ref="G66" authorId="0" shapeId="0" xr:uid="{3BB2FB62-074D-4EE8-AA3C-A5787A55CB91}">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C0530874-22A6-4361-AF50-007F2FDE6974}">
      <text>
        <r>
          <rPr>
            <b/>
            <sz val="8"/>
            <color indexed="81"/>
            <rFont val="Tahoma"/>
            <family val="2"/>
            <charset val="238"/>
          </rPr>
          <t>VLOŽ JEDNOTKOVOU CENU ZHOTOVITELE ZA POLOŽKU</t>
        </r>
        <r>
          <rPr>
            <sz val="8"/>
            <color indexed="81"/>
            <rFont val="Tahoma"/>
            <family val="2"/>
            <charset val="238"/>
          </rPr>
          <t xml:space="preserve">
</t>
        </r>
      </text>
    </comment>
    <comment ref="G71" authorId="0" shapeId="0" xr:uid="{512AB565-36E0-40D2-AF14-60A89592AF21}">
      <text>
        <r>
          <rPr>
            <b/>
            <sz val="8"/>
            <color indexed="81"/>
            <rFont val="Tahoma"/>
            <family val="2"/>
            <charset val="238"/>
          </rPr>
          <t>VLOŽ JEDNOTKOVOU CENU ZHOTOVITELE ZA POLOŽKU</t>
        </r>
        <r>
          <rPr>
            <sz val="8"/>
            <color indexed="81"/>
            <rFont val="Tahoma"/>
            <family val="2"/>
            <charset val="238"/>
          </rPr>
          <t xml:space="preserve">
</t>
        </r>
      </text>
    </comment>
    <comment ref="G74" authorId="0" shapeId="0" xr:uid="{A0C1744D-A616-4C21-9455-D70C68565758}">
      <text>
        <r>
          <rPr>
            <b/>
            <sz val="8"/>
            <color indexed="81"/>
            <rFont val="Tahoma"/>
            <family val="2"/>
            <charset val="238"/>
          </rPr>
          <t>VLOŽ JEDNOTKOVOU CENU ZHOTOVITELE ZA POLOŽKU</t>
        </r>
        <r>
          <rPr>
            <sz val="8"/>
            <color indexed="81"/>
            <rFont val="Tahoma"/>
            <family val="2"/>
            <charset val="238"/>
          </rPr>
          <t xml:space="preserve">
</t>
        </r>
      </text>
    </comment>
    <comment ref="G77" authorId="0" shapeId="0" xr:uid="{A7BD2DCD-D777-463A-A1F1-5D79D3494AE4}">
      <text>
        <r>
          <rPr>
            <b/>
            <sz val="8"/>
            <color indexed="81"/>
            <rFont val="Tahoma"/>
            <family val="2"/>
            <charset val="238"/>
          </rPr>
          <t>VLOŽ JEDNOTKOVOU CENU ZHOTOVITELE ZA POLOŽKU</t>
        </r>
        <r>
          <rPr>
            <sz val="8"/>
            <color indexed="81"/>
            <rFont val="Tahoma"/>
            <family val="2"/>
            <charset val="238"/>
          </rPr>
          <t xml:space="preserve">
</t>
        </r>
      </text>
    </comment>
    <comment ref="G79" authorId="0" shapeId="0" xr:uid="{F73CC916-9194-4D1C-8481-8AA4D4C0F58E}">
      <text>
        <r>
          <rPr>
            <b/>
            <sz val="8"/>
            <color indexed="81"/>
            <rFont val="Tahoma"/>
            <family val="2"/>
            <charset val="238"/>
          </rPr>
          <t>VLOŽ JEDNOTKOVOU CENU ZHOTOVITELE ZA POLOŽKU</t>
        </r>
        <r>
          <rPr>
            <sz val="8"/>
            <color indexed="81"/>
            <rFont val="Tahoma"/>
            <family val="2"/>
            <charset val="238"/>
          </rPr>
          <t xml:space="preserve">
</t>
        </r>
      </text>
    </comment>
    <comment ref="G82" authorId="0" shapeId="0" xr:uid="{4260BB69-57F0-41FA-9470-05E8414F9C68}">
      <text>
        <r>
          <rPr>
            <b/>
            <sz val="8"/>
            <color indexed="81"/>
            <rFont val="Tahoma"/>
            <family val="2"/>
            <charset val="238"/>
          </rPr>
          <t>VLOŽ JEDNOTKOVOU CENU ZHOTOVITELE ZA POLOŽKU</t>
        </r>
        <r>
          <rPr>
            <sz val="8"/>
            <color indexed="81"/>
            <rFont val="Tahoma"/>
            <family val="2"/>
            <charset val="238"/>
          </rPr>
          <t xml:space="preserve">
</t>
        </r>
      </text>
    </comment>
    <comment ref="G85" authorId="0" shapeId="0" xr:uid="{0563D544-9D8F-43A4-8557-3B9D21ECFA01}">
      <text>
        <r>
          <rPr>
            <b/>
            <sz val="8"/>
            <color indexed="81"/>
            <rFont val="Tahoma"/>
            <family val="2"/>
            <charset val="238"/>
          </rPr>
          <t>VLOŽ JEDNOTKOVOU CENU ZHOTOVITELE ZA POLOŽKU</t>
        </r>
        <r>
          <rPr>
            <sz val="8"/>
            <color indexed="81"/>
            <rFont val="Tahoma"/>
            <family val="2"/>
            <charset val="238"/>
          </rPr>
          <t xml:space="preserve">
</t>
        </r>
      </text>
    </comment>
    <comment ref="G86" authorId="0" shapeId="0" xr:uid="{2612CCF8-67D8-49D5-8D64-0170F84E5B29}">
      <text>
        <r>
          <rPr>
            <b/>
            <sz val="8"/>
            <color indexed="81"/>
            <rFont val="Tahoma"/>
            <family val="2"/>
            <charset val="238"/>
          </rPr>
          <t>VLOŽ JEDNOTKOVOU CENU ZHOTOVITELE ZA POLOŽKU</t>
        </r>
        <r>
          <rPr>
            <sz val="8"/>
            <color indexed="81"/>
            <rFont val="Tahoma"/>
            <family val="2"/>
            <charset val="238"/>
          </rPr>
          <t xml:space="preserve">
</t>
        </r>
      </text>
    </comment>
    <comment ref="G88" authorId="0" shapeId="0" xr:uid="{08DAA7F1-AF13-4555-9412-E5165DDDFBCE}">
      <text>
        <r>
          <rPr>
            <b/>
            <sz val="8"/>
            <color indexed="81"/>
            <rFont val="Tahoma"/>
            <family val="2"/>
            <charset val="238"/>
          </rPr>
          <t>VLOŽ JEDNOTKOVOU CENU ZHOTOVITELE ZA POLOŽKU</t>
        </r>
        <r>
          <rPr>
            <sz val="8"/>
            <color indexed="81"/>
            <rFont val="Tahoma"/>
            <family val="2"/>
            <charset val="238"/>
          </rPr>
          <t xml:space="preserve">
</t>
        </r>
      </text>
    </comment>
    <comment ref="G90" authorId="0" shapeId="0" xr:uid="{BEF64373-D4AF-4FDD-AD0D-BD7FA160471F}">
      <text>
        <r>
          <rPr>
            <b/>
            <sz val="8"/>
            <color indexed="81"/>
            <rFont val="Tahoma"/>
            <family val="2"/>
            <charset val="238"/>
          </rPr>
          <t>VLOŽ JEDNOTKOVOU CENU ZHOTOVITELE ZA POLOŽKU</t>
        </r>
        <r>
          <rPr>
            <sz val="8"/>
            <color indexed="81"/>
            <rFont val="Tahoma"/>
            <family val="2"/>
            <charset val="238"/>
          </rPr>
          <t xml:space="preserve">
</t>
        </r>
      </text>
    </comment>
    <comment ref="G92" authorId="0" shapeId="0" xr:uid="{1394777C-F483-43F1-BDED-596A647BC915}">
      <text>
        <r>
          <rPr>
            <b/>
            <sz val="8"/>
            <color indexed="81"/>
            <rFont val="Tahoma"/>
            <family val="2"/>
            <charset val="238"/>
          </rPr>
          <t>VLOŽ JEDNOTKOVOU CENU ZHOTOVITELE ZA POLOŽKU</t>
        </r>
        <r>
          <rPr>
            <sz val="8"/>
            <color indexed="81"/>
            <rFont val="Tahoma"/>
            <family val="2"/>
            <charset val="238"/>
          </rPr>
          <t xml:space="preserve">
</t>
        </r>
      </text>
    </comment>
    <comment ref="G93" authorId="0" shapeId="0" xr:uid="{70D645C1-4DB6-4726-9C87-C80FF4EFCE1D}">
      <text>
        <r>
          <rPr>
            <b/>
            <sz val="8"/>
            <color indexed="81"/>
            <rFont val="Tahoma"/>
            <family val="2"/>
            <charset val="238"/>
          </rPr>
          <t>VLOŽ JEDNOTKOVOU CENU ZHOTOVITELE ZA POLOŽKU</t>
        </r>
        <r>
          <rPr>
            <sz val="8"/>
            <color indexed="81"/>
            <rFont val="Tahoma"/>
            <family val="2"/>
            <charset val="238"/>
          </rPr>
          <t xml:space="preserve">
</t>
        </r>
      </text>
    </comment>
    <comment ref="G95" authorId="0" shapeId="0" xr:uid="{4003DDBF-C897-49B4-8306-712A91FB8BD5}">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E7871FE6-4215-41C5-970E-796B2264C5C3}">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5A66C5C6-3FFF-439F-9EE4-90CAC6A44EBB}">
      <text>
        <r>
          <rPr>
            <b/>
            <sz val="8"/>
            <color indexed="81"/>
            <rFont val="Tahoma"/>
            <family val="2"/>
            <charset val="238"/>
          </rPr>
          <t>VLOŽ JEDNOTKOVOU CENU ZHOTOVITELE ZA POLOŽKU</t>
        </r>
        <r>
          <rPr>
            <sz val="8"/>
            <color indexed="81"/>
            <rFont val="Tahoma"/>
            <family val="2"/>
            <charset val="238"/>
          </rPr>
          <t xml:space="preserve">
</t>
        </r>
      </text>
    </comment>
    <comment ref="G18" authorId="0" shapeId="0" xr:uid="{C2819816-8938-4E59-AED0-846659025817}">
      <text>
        <r>
          <rPr>
            <b/>
            <sz val="8"/>
            <color indexed="81"/>
            <rFont val="Tahoma"/>
            <family val="2"/>
            <charset val="238"/>
          </rPr>
          <t>VLOŽ JEDNOTKOVOU CENU ZHOTOVITELE ZA POLOŽKU</t>
        </r>
        <r>
          <rPr>
            <sz val="8"/>
            <color indexed="81"/>
            <rFont val="Tahoma"/>
            <family val="2"/>
            <charset val="238"/>
          </rPr>
          <t xml:space="preserve">
</t>
        </r>
      </text>
    </comment>
    <comment ref="G20" authorId="0" shapeId="0" xr:uid="{2FB5E09F-193F-4795-82D2-24A305A07880}">
      <text>
        <r>
          <rPr>
            <b/>
            <sz val="8"/>
            <color indexed="81"/>
            <rFont val="Tahoma"/>
            <family val="2"/>
            <charset val="238"/>
          </rPr>
          <t>VLOŽ JEDNOTKOVOU CENU ZHOTOVITELE ZA POLOŽKU</t>
        </r>
        <r>
          <rPr>
            <sz val="8"/>
            <color indexed="81"/>
            <rFont val="Tahoma"/>
            <family val="2"/>
            <charset val="238"/>
          </rPr>
          <t xml:space="preserve">
</t>
        </r>
      </text>
    </comment>
    <comment ref="G22" authorId="0" shapeId="0" xr:uid="{55733B99-0A8D-4454-929C-80C0E41572F8}">
      <text>
        <r>
          <rPr>
            <b/>
            <sz val="8"/>
            <color indexed="81"/>
            <rFont val="Tahoma"/>
            <family val="2"/>
            <charset val="238"/>
          </rPr>
          <t>VLOŽ JEDNOTKOVOU CENU ZHOTOVITELE ZA POLOŽKU</t>
        </r>
        <r>
          <rPr>
            <sz val="8"/>
            <color indexed="81"/>
            <rFont val="Tahoma"/>
            <family val="2"/>
            <charset val="238"/>
          </rPr>
          <t xml:space="preserve">
</t>
        </r>
      </text>
    </comment>
    <comment ref="G24" authorId="0" shapeId="0" xr:uid="{21158E2C-426D-4DD7-8DAD-D2DE1B34AA52}">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34E053AD-57E5-4350-80EB-CECFA9ACD869}">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65BBF814-8961-46A9-9B79-1223CF610D68}">
      <text>
        <r>
          <rPr>
            <b/>
            <sz val="8"/>
            <color indexed="81"/>
            <rFont val="Tahoma"/>
            <family val="2"/>
            <charset val="238"/>
          </rPr>
          <t>VLOŽ JEDNOTKOVOU CENU ZHOTOVITELE ZA POLOŽKU</t>
        </r>
        <r>
          <rPr>
            <sz val="8"/>
            <color indexed="81"/>
            <rFont val="Tahoma"/>
            <family val="2"/>
            <charset val="238"/>
          </rPr>
          <t xml:space="preserve">
</t>
        </r>
      </text>
    </comment>
    <comment ref="G32" authorId="0" shapeId="0" xr:uid="{E7CEFA95-D200-4E4D-B7D8-AA5F640FC799}">
      <text>
        <r>
          <rPr>
            <b/>
            <sz val="8"/>
            <color indexed="81"/>
            <rFont val="Tahoma"/>
            <family val="2"/>
            <charset val="238"/>
          </rPr>
          <t>VLOŽ JEDNOTKOVOU CENU ZHOTOVITELE ZA POLOŽKU</t>
        </r>
        <r>
          <rPr>
            <sz val="8"/>
            <color indexed="81"/>
            <rFont val="Tahoma"/>
            <family val="2"/>
            <charset val="238"/>
          </rPr>
          <t xml:space="preserve">
</t>
        </r>
      </text>
    </comment>
    <comment ref="G34" authorId="0" shapeId="0" xr:uid="{DFEFC283-2F41-4920-B919-3401AA4395DC}">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F92DC686-6B72-432E-A2CE-9BAB1BABB15C}">
      <text>
        <r>
          <rPr>
            <b/>
            <sz val="8"/>
            <color indexed="81"/>
            <rFont val="Tahoma"/>
            <family val="2"/>
            <charset val="238"/>
          </rPr>
          <t>VLOŽ JEDNOTKOVOU CENU ZHOTOVITELE ZA POLOŽKU</t>
        </r>
        <r>
          <rPr>
            <sz val="8"/>
            <color indexed="81"/>
            <rFont val="Tahoma"/>
            <family val="2"/>
            <charset val="238"/>
          </rPr>
          <t xml:space="preserve">
</t>
        </r>
      </text>
    </comment>
    <comment ref="G38" authorId="0" shapeId="0" xr:uid="{61C1C3AC-A3E2-4A50-B08B-0895167028A2}">
      <text>
        <r>
          <rPr>
            <b/>
            <sz val="8"/>
            <color indexed="81"/>
            <rFont val="Tahoma"/>
            <family val="2"/>
            <charset val="238"/>
          </rPr>
          <t>VLOŽ JEDNOTKOVOU CENU ZHOTOVITELE ZA POLOŽKU</t>
        </r>
        <r>
          <rPr>
            <sz val="8"/>
            <color indexed="81"/>
            <rFont val="Tahoma"/>
            <family val="2"/>
            <charset val="238"/>
          </rPr>
          <t xml:space="preserve">
</t>
        </r>
      </text>
    </comment>
    <comment ref="G41" authorId="0" shapeId="0" xr:uid="{EF96062A-F36A-4F7A-AECF-EE0D61DAA91F}">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02B2FA61-FC0C-4247-8E75-7185F91B119B}">
      <text>
        <r>
          <rPr>
            <b/>
            <sz val="8"/>
            <color indexed="81"/>
            <rFont val="Tahoma"/>
            <family val="2"/>
            <charset val="238"/>
          </rPr>
          <t>VLOŽ JEDNOTKOVOU CENU ZHOTOVITELE ZA POLOŽKU</t>
        </r>
        <r>
          <rPr>
            <sz val="8"/>
            <color indexed="81"/>
            <rFont val="Tahoma"/>
            <family val="2"/>
            <charset val="238"/>
          </rPr>
          <t xml:space="preserve">
</t>
        </r>
      </text>
    </comment>
    <comment ref="G45" authorId="0" shapeId="0" xr:uid="{72847A48-D075-48CB-873F-164BD6EA0396}">
      <text>
        <r>
          <rPr>
            <b/>
            <sz val="8"/>
            <color indexed="81"/>
            <rFont val="Tahoma"/>
            <family val="2"/>
            <charset val="238"/>
          </rPr>
          <t>VLOŽ JEDNOTKOVOU CENU ZHOTOVITELE ZA POLOŽKU</t>
        </r>
        <r>
          <rPr>
            <sz val="8"/>
            <color indexed="81"/>
            <rFont val="Tahoma"/>
            <family val="2"/>
            <charset val="238"/>
          </rPr>
          <t xml:space="preserve">
</t>
        </r>
      </text>
    </comment>
    <comment ref="G48" authorId="0" shapeId="0" xr:uid="{44585154-C893-4FA6-853A-762F278E0CB9}">
      <text>
        <r>
          <rPr>
            <b/>
            <sz val="8"/>
            <color indexed="81"/>
            <rFont val="Tahoma"/>
            <family val="2"/>
            <charset val="238"/>
          </rPr>
          <t>VLOŽ JEDNOTKOVOU CENU ZHOTOVITELE ZA POLOŽKU</t>
        </r>
        <r>
          <rPr>
            <sz val="8"/>
            <color indexed="81"/>
            <rFont val="Tahoma"/>
            <family val="2"/>
            <charset val="238"/>
          </rPr>
          <t xml:space="preserve">
</t>
        </r>
      </text>
    </comment>
    <comment ref="G51" authorId="0" shapeId="0" xr:uid="{9E983E71-590F-4831-B425-68709FFFE015}">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992A1D9A-50A3-4B38-9C73-E675C5E0F6AD}">
      <text>
        <r>
          <rPr>
            <b/>
            <sz val="8"/>
            <color indexed="81"/>
            <rFont val="Tahoma"/>
            <family val="2"/>
            <charset val="238"/>
          </rPr>
          <t>VLOŽ JEDNOTKOVOU CENU ZHOTOVITELE ZA POLOŽKU</t>
        </r>
        <r>
          <rPr>
            <sz val="8"/>
            <color indexed="81"/>
            <rFont val="Tahoma"/>
            <family val="2"/>
            <charset val="238"/>
          </rPr>
          <t xml:space="preserve">
</t>
        </r>
      </text>
    </comment>
    <comment ref="G57" authorId="0" shapeId="0" xr:uid="{186BEF05-6697-4505-A782-BE5AEAA04FF5}">
      <text>
        <r>
          <rPr>
            <b/>
            <sz val="8"/>
            <color indexed="81"/>
            <rFont val="Tahoma"/>
            <family val="2"/>
            <charset val="238"/>
          </rPr>
          <t>VLOŽ JEDNOTKOVOU CENU ZHOTOVITELE ZA POLOŽKU</t>
        </r>
        <r>
          <rPr>
            <sz val="8"/>
            <color indexed="81"/>
            <rFont val="Tahoma"/>
            <family val="2"/>
            <charset val="238"/>
          </rPr>
          <t xml:space="preserve">
</t>
        </r>
      </text>
    </comment>
    <comment ref="G59" authorId="0" shapeId="0" xr:uid="{66E3A202-B36D-4274-B202-F7B0F902DF60}">
      <text>
        <r>
          <rPr>
            <b/>
            <sz val="8"/>
            <color indexed="81"/>
            <rFont val="Tahoma"/>
            <family val="2"/>
            <charset val="238"/>
          </rPr>
          <t>VLOŽ JEDNOTKOVOU CENU ZHOTOVITELE ZA POLOŽKU</t>
        </r>
        <r>
          <rPr>
            <sz val="8"/>
            <color indexed="81"/>
            <rFont val="Tahoma"/>
            <family val="2"/>
            <charset val="238"/>
          </rPr>
          <t xml:space="preserve">
</t>
        </r>
      </text>
    </comment>
    <comment ref="G61" authorId="0" shapeId="0" xr:uid="{F3F1F99D-4D61-498B-B021-A01251AB006F}">
      <text>
        <r>
          <rPr>
            <b/>
            <sz val="8"/>
            <color indexed="81"/>
            <rFont val="Tahoma"/>
            <family val="2"/>
            <charset val="238"/>
          </rPr>
          <t>VLOŽ JEDNOTKOVOU CENU ZHOTOVITELE ZA POLOŽKU</t>
        </r>
        <r>
          <rPr>
            <sz val="8"/>
            <color indexed="81"/>
            <rFont val="Tahoma"/>
            <family val="2"/>
            <charset val="238"/>
          </rPr>
          <t xml:space="preserve">
</t>
        </r>
      </text>
    </comment>
    <comment ref="G63" authorId="0" shapeId="0" xr:uid="{80E2E4A5-719A-4DAE-99E6-867B11060401}">
      <text>
        <r>
          <rPr>
            <b/>
            <sz val="8"/>
            <color indexed="81"/>
            <rFont val="Tahoma"/>
            <family val="2"/>
            <charset val="238"/>
          </rPr>
          <t>VLOŽ JEDNOTKOVOU CENU ZHOTOVITELE ZA POLOŽKU</t>
        </r>
        <r>
          <rPr>
            <sz val="8"/>
            <color indexed="81"/>
            <rFont val="Tahoma"/>
            <family val="2"/>
            <charset val="238"/>
          </rPr>
          <t xml:space="preserve">
</t>
        </r>
      </text>
    </comment>
    <comment ref="G66" authorId="0" shapeId="0" xr:uid="{B31BD592-CE0F-4F6C-A83A-127924C111FE}">
      <text>
        <r>
          <rPr>
            <b/>
            <sz val="8"/>
            <color indexed="81"/>
            <rFont val="Tahoma"/>
            <family val="2"/>
            <charset val="238"/>
          </rPr>
          <t>VLOŽ JEDNOTKOVOU CENU ZHOTOVITELE ZA POLOŽKU</t>
        </r>
        <r>
          <rPr>
            <sz val="8"/>
            <color indexed="81"/>
            <rFont val="Tahoma"/>
            <family val="2"/>
            <charset val="238"/>
          </rPr>
          <t xml:space="preserve">
</t>
        </r>
      </text>
    </comment>
    <comment ref="G69" authorId="0" shapeId="0" xr:uid="{C1FCA4C6-3278-41B2-BF94-6643540E2951}">
      <text>
        <r>
          <rPr>
            <b/>
            <sz val="8"/>
            <color indexed="81"/>
            <rFont val="Tahoma"/>
            <family val="2"/>
            <charset val="238"/>
          </rPr>
          <t>VLOŽ JEDNOTKOVOU CENU ZHOTOVITELE ZA POLOŽKU</t>
        </r>
        <r>
          <rPr>
            <sz val="8"/>
            <color indexed="81"/>
            <rFont val="Tahoma"/>
            <family val="2"/>
            <charset val="238"/>
          </rPr>
          <t xml:space="preserve">
</t>
        </r>
      </text>
    </comment>
    <comment ref="G72" authorId="0" shapeId="0" xr:uid="{ABD3CB03-166F-4592-A49F-1111229AA5AD}">
      <text>
        <r>
          <rPr>
            <b/>
            <sz val="8"/>
            <color indexed="81"/>
            <rFont val="Tahoma"/>
            <family val="2"/>
            <charset val="238"/>
          </rPr>
          <t>VLOŽ JEDNOTKOVOU CENU ZHOTOVITELE ZA POLOŽKU</t>
        </r>
        <r>
          <rPr>
            <sz val="8"/>
            <color indexed="81"/>
            <rFont val="Tahoma"/>
            <family val="2"/>
            <charset val="238"/>
          </rPr>
          <t xml:space="preserve">
</t>
        </r>
      </text>
    </comment>
    <comment ref="G74" authorId="0" shapeId="0" xr:uid="{B51DBA8F-BC24-4344-B8EF-E4C250899BA4}">
      <text>
        <r>
          <rPr>
            <b/>
            <sz val="8"/>
            <color indexed="81"/>
            <rFont val="Tahoma"/>
            <family val="2"/>
            <charset val="238"/>
          </rPr>
          <t>VLOŽ JEDNOTKOVOU CENU ZHOTOVITELE ZA POLOŽKU</t>
        </r>
        <r>
          <rPr>
            <sz val="8"/>
            <color indexed="81"/>
            <rFont val="Tahoma"/>
            <family val="2"/>
            <charset val="238"/>
          </rPr>
          <t xml:space="preserve">
</t>
        </r>
      </text>
    </comment>
    <comment ref="G77" authorId="0" shapeId="0" xr:uid="{C2C9477D-5EB9-45F5-8EE1-06924F1177C9}">
      <text>
        <r>
          <rPr>
            <b/>
            <sz val="8"/>
            <color indexed="81"/>
            <rFont val="Tahoma"/>
            <family val="2"/>
            <charset val="238"/>
          </rPr>
          <t>VLOŽ JEDNOTKOVOU CENU ZHOTOVITELE ZA POLOŽKU</t>
        </r>
        <r>
          <rPr>
            <sz val="8"/>
            <color indexed="81"/>
            <rFont val="Tahoma"/>
            <family val="2"/>
            <charset val="238"/>
          </rPr>
          <t xml:space="preserve">
</t>
        </r>
      </text>
    </comment>
    <comment ref="G80" authorId="0" shapeId="0" xr:uid="{B1146FB2-A907-4E48-B906-E041FF83E4B9}">
      <text>
        <r>
          <rPr>
            <b/>
            <sz val="8"/>
            <color indexed="81"/>
            <rFont val="Tahoma"/>
            <family val="2"/>
            <charset val="238"/>
          </rPr>
          <t>VLOŽ JEDNOTKOVOU CENU ZHOTOVITELE ZA POLOŽKU</t>
        </r>
        <r>
          <rPr>
            <sz val="8"/>
            <color indexed="81"/>
            <rFont val="Tahoma"/>
            <family val="2"/>
            <charset val="238"/>
          </rPr>
          <t xml:space="preserve">
</t>
        </r>
      </text>
    </comment>
    <comment ref="G81" authorId="0" shapeId="0" xr:uid="{C75E1F2D-AD0D-4ACE-BE93-E2E6BC2C294B}">
      <text>
        <r>
          <rPr>
            <b/>
            <sz val="8"/>
            <color indexed="81"/>
            <rFont val="Tahoma"/>
            <family val="2"/>
            <charset val="238"/>
          </rPr>
          <t>VLOŽ JEDNOTKOVOU CENU ZHOTOVITELE ZA POLOŽKU</t>
        </r>
        <r>
          <rPr>
            <sz val="8"/>
            <color indexed="81"/>
            <rFont val="Tahoma"/>
            <family val="2"/>
            <charset val="238"/>
          </rPr>
          <t xml:space="preserve">
</t>
        </r>
      </text>
    </comment>
    <comment ref="G83" authorId="0" shapeId="0" xr:uid="{F258E576-9B81-4FB3-8C01-CB59EF607DDE}">
      <text>
        <r>
          <rPr>
            <b/>
            <sz val="8"/>
            <color indexed="81"/>
            <rFont val="Tahoma"/>
            <family val="2"/>
            <charset val="238"/>
          </rPr>
          <t>VLOŽ JEDNOTKOVOU CENU ZHOTOVITELE ZA POLOŽKU</t>
        </r>
        <r>
          <rPr>
            <sz val="8"/>
            <color indexed="81"/>
            <rFont val="Tahoma"/>
            <family val="2"/>
            <charset val="238"/>
          </rPr>
          <t xml:space="preserve">
</t>
        </r>
      </text>
    </comment>
    <comment ref="G85" authorId="0" shapeId="0" xr:uid="{D2258DF2-6539-4183-86FE-F213B370310C}">
      <text>
        <r>
          <rPr>
            <b/>
            <sz val="8"/>
            <color indexed="81"/>
            <rFont val="Tahoma"/>
            <family val="2"/>
            <charset val="238"/>
          </rPr>
          <t>VLOŽ JEDNOTKOVOU CENU ZHOTOVITELE ZA POLOŽKU</t>
        </r>
        <r>
          <rPr>
            <sz val="8"/>
            <color indexed="81"/>
            <rFont val="Tahoma"/>
            <family val="2"/>
            <charset val="238"/>
          </rPr>
          <t xml:space="preserve">
</t>
        </r>
      </text>
    </comment>
    <comment ref="G87" authorId="0" shapeId="0" xr:uid="{4A9C4683-E995-4F80-A9F4-DF0F35DAA679}">
      <text>
        <r>
          <rPr>
            <b/>
            <sz val="8"/>
            <color indexed="81"/>
            <rFont val="Tahoma"/>
            <family val="2"/>
            <charset val="238"/>
          </rPr>
          <t>VLOŽ JEDNOTKOVOU CENU ZHOTOVITELE ZA POLOŽKU</t>
        </r>
        <r>
          <rPr>
            <sz val="8"/>
            <color indexed="81"/>
            <rFont val="Tahoma"/>
            <family val="2"/>
            <charset val="238"/>
          </rPr>
          <t xml:space="preserve">
</t>
        </r>
      </text>
    </comment>
    <comment ref="G88" authorId="0" shapeId="0" xr:uid="{F2D25494-CA58-4289-A11E-AEFBD8BEF14B}">
      <text>
        <r>
          <rPr>
            <b/>
            <sz val="8"/>
            <color indexed="81"/>
            <rFont val="Tahoma"/>
            <family val="2"/>
            <charset val="238"/>
          </rPr>
          <t>VLOŽ JEDNOTKOVOU CENU ZHOTOVITELE ZA POLOŽKU</t>
        </r>
        <r>
          <rPr>
            <sz val="8"/>
            <color indexed="81"/>
            <rFont val="Tahoma"/>
            <family val="2"/>
            <charset val="238"/>
          </rPr>
          <t xml:space="preserve">
</t>
        </r>
      </text>
    </comment>
    <comment ref="G90" authorId="0" shapeId="0" xr:uid="{77FF9560-D3A2-4061-84A2-58EB7ECD455A}">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E02014CF-8F43-412B-9ABD-C9A20CB96F0E}">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EB6DE356-ED86-4DE0-9CEC-FF3FE0EC4EB2}">
      <text>
        <r>
          <rPr>
            <b/>
            <sz val="8"/>
            <color indexed="81"/>
            <rFont val="Tahoma"/>
            <family val="2"/>
            <charset val="238"/>
          </rPr>
          <t>VLOŽ JEDNOTKOVOU CENU ZHOTOVITELE ZA POLOŽKU</t>
        </r>
        <r>
          <rPr>
            <sz val="8"/>
            <color indexed="81"/>
            <rFont val="Tahoma"/>
            <family val="2"/>
            <charset val="238"/>
          </rPr>
          <t xml:space="preserve">
</t>
        </r>
      </text>
    </comment>
    <comment ref="G17" authorId="0" shapeId="0" xr:uid="{3D88AF5B-2B0C-40C7-9552-CAEA3468DC05}">
      <text>
        <r>
          <rPr>
            <b/>
            <sz val="8"/>
            <color indexed="81"/>
            <rFont val="Tahoma"/>
            <family val="2"/>
            <charset val="238"/>
          </rPr>
          <t>VLOŽ JEDNOTKOVOU CENU ZHOTOVITELE ZA POLOŽKU</t>
        </r>
        <r>
          <rPr>
            <sz val="8"/>
            <color indexed="81"/>
            <rFont val="Tahoma"/>
            <family val="2"/>
            <charset val="238"/>
          </rPr>
          <t xml:space="preserve">
</t>
        </r>
      </text>
    </comment>
    <comment ref="G19" authorId="0" shapeId="0" xr:uid="{AC9C9B1A-D447-4B63-AB25-4FF89CAEF423}">
      <text>
        <r>
          <rPr>
            <b/>
            <sz val="8"/>
            <color indexed="81"/>
            <rFont val="Tahoma"/>
            <family val="2"/>
            <charset val="238"/>
          </rPr>
          <t>VLOŽ JEDNOTKOVOU CENU ZHOTOVITELE ZA POLOŽKU</t>
        </r>
        <r>
          <rPr>
            <sz val="8"/>
            <color indexed="81"/>
            <rFont val="Tahoma"/>
            <family val="2"/>
            <charset val="238"/>
          </rPr>
          <t xml:space="preserve">
</t>
        </r>
      </text>
    </comment>
    <comment ref="G21" authorId="0" shapeId="0" xr:uid="{06FF1CF8-A3B9-4570-AF24-63D19EE7115B}">
      <text>
        <r>
          <rPr>
            <b/>
            <sz val="8"/>
            <color indexed="81"/>
            <rFont val="Tahoma"/>
            <family val="2"/>
            <charset val="238"/>
          </rPr>
          <t>VLOŽ JEDNOTKOVOU CENU ZHOTOVITELE ZA POLOŽKU</t>
        </r>
        <r>
          <rPr>
            <sz val="8"/>
            <color indexed="81"/>
            <rFont val="Tahoma"/>
            <family val="2"/>
            <charset val="238"/>
          </rPr>
          <t xml:space="preserve">
</t>
        </r>
      </text>
    </comment>
    <comment ref="G24" authorId="0" shapeId="0" xr:uid="{C3A8C3B0-7B83-4FB1-8EAC-86D71CF23B03}">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B5B8E401-91F3-4626-866D-44A3B5CADBDD}">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09733D0D-F6C8-41B8-824E-B0762D0118F4}">
      <text>
        <r>
          <rPr>
            <b/>
            <sz val="8"/>
            <color indexed="81"/>
            <rFont val="Tahoma"/>
            <family val="2"/>
            <charset val="238"/>
          </rPr>
          <t>VLOŽ JEDNOTKOVOU CENU ZHOTOVITELE ZA POLOŽKU</t>
        </r>
        <r>
          <rPr>
            <sz val="8"/>
            <color indexed="81"/>
            <rFont val="Tahoma"/>
            <family val="2"/>
            <charset val="238"/>
          </rPr>
          <t xml:space="preserve">
</t>
        </r>
      </text>
    </comment>
    <comment ref="G31" authorId="0" shapeId="0" xr:uid="{FA083F84-7CC9-41AC-B602-B3E0BA8EDC3E}">
      <text>
        <r>
          <rPr>
            <b/>
            <sz val="8"/>
            <color indexed="81"/>
            <rFont val="Tahoma"/>
            <family val="2"/>
            <charset val="238"/>
          </rPr>
          <t>VLOŽ JEDNOTKOVOU CENU ZHOTOVITELE ZA POLOŽKU</t>
        </r>
        <r>
          <rPr>
            <sz val="8"/>
            <color indexed="81"/>
            <rFont val="Tahoma"/>
            <family val="2"/>
            <charset val="238"/>
          </rPr>
          <t xml:space="preserve">
</t>
        </r>
      </text>
    </comment>
    <comment ref="G33" authorId="0" shapeId="0" xr:uid="{BCDE8D58-3F25-4B12-85D5-E9BF03EF63BF}">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73531B93-C5D1-47CC-8C1E-4F000F2DFBD7}">
      <text>
        <r>
          <rPr>
            <b/>
            <sz val="8"/>
            <color indexed="81"/>
            <rFont val="Tahoma"/>
            <family val="2"/>
            <charset val="238"/>
          </rPr>
          <t>VLOŽ JEDNOTKOVOU CENU ZHOTOVITELE ZA POLOŽKU</t>
        </r>
        <r>
          <rPr>
            <sz val="8"/>
            <color indexed="81"/>
            <rFont val="Tahoma"/>
            <family val="2"/>
            <charset val="238"/>
          </rPr>
          <t xml:space="preserve">
</t>
        </r>
      </text>
    </comment>
    <comment ref="G38" authorId="0" shapeId="0" xr:uid="{1A6C2157-03AE-469A-90EC-6CC0026792D1}">
      <text>
        <r>
          <rPr>
            <b/>
            <sz val="8"/>
            <color indexed="81"/>
            <rFont val="Tahoma"/>
            <family val="2"/>
            <charset val="238"/>
          </rPr>
          <t>VLOŽ JEDNOTKOVOU CENU ZHOTOVITELE ZA POLOŽKU</t>
        </r>
        <r>
          <rPr>
            <sz val="8"/>
            <color indexed="81"/>
            <rFont val="Tahoma"/>
            <family val="2"/>
            <charset val="238"/>
          </rPr>
          <t xml:space="preserve">
</t>
        </r>
      </text>
    </comment>
    <comment ref="G41" authorId="0" shapeId="0" xr:uid="{F0009B52-6AAA-4A85-BD48-9C6AA6C7EDD7}">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38116A84-E0EC-4B32-8520-36870BF82099}">
      <text>
        <r>
          <rPr>
            <b/>
            <sz val="8"/>
            <color indexed="81"/>
            <rFont val="Tahoma"/>
            <family val="2"/>
            <charset val="238"/>
          </rPr>
          <t>VLOŽ JEDNOTKOVOU CENU ZHOTOVITELE ZA POLOŽKU</t>
        </r>
        <r>
          <rPr>
            <sz val="8"/>
            <color indexed="81"/>
            <rFont val="Tahoma"/>
            <family val="2"/>
            <charset val="238"/>
          </rPr>
          <t xml:space="preserve">
</t>
        </r>
      </text>
    </comment>
    <comment ref="G45" authorId="0" shapeId="0" xr:uid="{908293B6-E0EC-4B54-8BAE-498A9569C926}">
      <text>
        <r>
          <rPr>
            <b/>
            <sz val="8"/>
            <color indexed="81"/>
            <rFont val="Tahoma"/>
            <family val="2"/>
            <charset val="238"/>
          </rPr>
          <t>VLOŽ JEDNOTKOVOU CENU ZHOTOVITELE ZA POLOŽKU</t>
        </r>
        <r>
          <rPr>
            <sz val="8"/>
            <color indexed="81"/>
            <rFont val="Tahoma"/>
            <family val="2"/>
            <charset val="238"/>
          </rPr>
          <t xml:space="preserve">
</t>
        </r>
      </text>
    </comment>
    <comment ref="G47" authorId="0" shapeId="0" xr:uid="{3B76809F-4D48-4F83-866D-D266E873ECAA}">
      <text>
        <r>
          <rPr>
            <b/>
            <sz val="8"/>
            <color indexed="81"/>
            <rFont val="Tahoma"/>
            <family val="2"/>
            <charset val="238"/>
          </rPr>
          <t>VLOŽ JEDNOTKOVOU CENU ZHOTOVITELE ZA POLOŽKU</t>
        </r>
        <r>
          <rPr>
            <sz val="8"/>
            <color indexed="81"/>
            <rFont val="Tahoma"/>
            <family val="2"/>
            <charset val="238"/>
          </rPr>
          <t xml:space="preserve">
</t>
        </r>
      </text>
    </comment>
    <comment ref="G50" authorId="0" shapeId="0" xr:uid="{C1485C6B-B264-4212-810A-F236B000D895}">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0A6FBAC3-B029-4061-811D-C0D406642968}">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241816DC-256B-417F-9C28-C2F0C2C5AFEA}">
      <text>
        <r>
          <rPr>
            <b/>
            <sz val="8"/>
            <color indexed="81"/>
            <rFont val="Tahoma"/>
            <family val="2"/>
            <charset val="238"/>
          </rPr>
          <t>VLOŽ JEDNOTKOVOU CENU ZHOTOVITELE ZA POLOŽKU</t>
        </r>
        <r>
          <rPr>
            <sz val="8"/>
            <color indexed="81"/>
            <rFont val="Tahoma"/>
            <family val="2"/>
            <charset val="238"/>
          </rPr>
          <t xml:space="preserve">
</t>
        </r>
      </text>
    </comment>
    <comment ref="G57" authorId="0" shapeId="0" xr:uid="{395E76A9-8545-4385-8109-71EF33DF51F4}">
      <text>
        <r>
          <rPr>
            <b/>
            <sz val="8"/>
            <color indexed="81"/>
            <rFont val="Tahoma"/>
            <family val="2"/>
            <charset val="238"/>
          </rPr>
          <t>VLOŽ JEDNOTKOVOU CENU ZHOTOVITELE ZA POLOŽKU</t>
        </r>
        <r>
          <rPr>
            <sz val="8"/>
            <color indexed="81"/>
            <rFont val="Tahoma"/>
            <family val="2"/>
            <charset val="238"/>
          </rPr>
          <t xml:space="preserve">
</t>
        </r>
      </text>
    </comment>
    <comment ref="G60" authorId="0" shapeId="0" xr:uid="{06AD5FC6-437D-453C-881E-D3F9193FBD17}">
      <text>
        <r>
          <rPr>
            <b/>
            <sz val="8"/>
            <color indexed="81"/>
            <rFont val="Tahoma"/>
            <family val="2"/>
            <charset val="238"/>
          </rPr>
          <t>VLOŽ JEDNOTKOVOU CENU ZHOTOVITELE ZA POLOŽKU</t>
        </r>
        <r>
          <rPr>
            <sz val="8"/>
            <color indexed="81"/>
            <rFont val="Tahoma"/>
            <family val="2"/>
            <charset val="238"/>
          </rPr>
          <t xml:space="preserve">
</t>
        </r>
      </text>
    </comment>
    <comment ref="G63" authorId="0" shapeId="0" xr:uid="{5EDE79ED-71C9-456A-981B-EB48EAECFF3F}">
      <text>
        <r>
          <rPr>
            <b/>
            <sz val="8"/>
            <color indexed="81"/>
            <rFont val="Tahoma"/>
            <family val="2"/>
            <charset val="238"/>
          </rPr>
          <t>VLOŽ JEDNOTKOVOU CENU ZHOTOVITELE ZA POLOŽKU</t>
        </r>
        <r>
          <rPr>
            <sz val="8"/>
            <color indexed="81"/>
            <rFont val="Tahoma"/>
            <family val="2"/>
            <charset val="238"/>
          </rPr>
          <t xml:space="preserve">
</t>
        </r>
      </text>
    </comment>
    <comment ref="G66" authorId="0" shapeId="0" xr:uid="{A42263EA-10C7-4D8F-818B-A54CD6187753}">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D33D8B4D-BB14-47B4-A2FA-1F59C63F698F}">
      <text>
        <r>
          <rPr>
            <b/>
            <sz val="8"/>
            <color indexed="81"/>
            <rFont val="Tahoma"/>
            <family val="2"/>
            <charset val="238"/>
          </rPr>
          <t>VLOŽ JEDNOTKOVOU CENU ZHOTOVITELE ZA POLOŽKU</t>
        </r>
        <r>
          <rPr>
            <sz val="8"/>
            <color indexed="81"/>
            <rFont val="Tahoma"/>
            <family val="2"/>
            <charset val="238"/>
          </rPr>
          <t xml:space="preserve">
</t>
        </r>
      </text>
    </comment>
    <comment ref="G70" authorId="0" shapeId="0" xr:uid="{B98917AD-A92C-4447-8823-4A20D2BE5E8D}">
      <text>
        <r>
          <rPr>
            <b/>
            <sz val="8"/>
            <color indexed="81"/>
            <rFont val="Tahoma"/>
            <family val="2"/>
            <charset val="238"/>
          </rPr>
          <t>VLOŽ JEDNOTKOVOU CENU ZHOTOVITELE ZA POLOŽKU</t>
        </r>
        <r>
          <rPr>
            <sz val="8"/>
            <color indexed="81"/>
            <rFont val="Tahoma"/>
            <family val="2"/>
            <charset val="238"/>
          </rPr>
          <t xml:space="preserve">
</t>
        </r>
      </text>
    </comment>
    <comment ref="G72" authorId="0" shapeId="0" xr:uid="{D59CA504-06A6-44E2-A212-306AFDDC72EB}">
      <text>
        <r>
          <rPr>
            <b/>
            <sz val="8"/>
            <color indexed="81"/>
            <rFont val="Tahoma"/>
            <family val="2"/>
            <charset val="238"/>
          </rPr>
          <t>VLOŽ JEDNOTKOVOU CENU ZHOTOVITELE ZA POLOŽKU</t>
        </r>
        <r>
          <rPr>
            <sz val="8"/>
            <color indexed="81"/>
            <rFont val="Tahoma"/>
            <family val="2"/>
            <charset val="238"/>
          </rPr>
          <t xml:space="preserve">
</t>
        </r>
      </text>
    </comment>
    <comment ref="G75" authorId="0" shapeId="0" xr:uid="{08A04D9B-7662-4542-BE9A-1C8E6C8EFAA5}">
      <text>
        <r>
          <rPr>
            <b/>
            <sz val="8"/>
            <color indexed="81"/>
            <rFont val="Tahoma"/>
            <family val="2"/>
            <charset val="238"/>
          </rPr>
          <t>VLOŽ JEDNOTKOVOU CENU ZHOTOVITELE ZA POLOŽKU</t>
        </r>
        <r>
          <rPr>
            <sz val="8"/>
            <color indexed="81"/>
            <rFont val="Tahoma"/>
            <family val="2"/>
            <charset val="238"/>
          </rPr>
          <t xml:space="preserve">
</t>
        </r>
      </text>
    </comment>
    <comment ref="G78" authorId="0" shapeId="0" xr:uid="{3C13DEE0-3151-4F7E-921B-D3C0B5B66736}">
      <text>
        <r>
          <rPr>
            <b/>
            <sz val="8"/>
            <color indexed="81"/>
            <rFont val="Tahoma"/>
            <family val="2"/>
            <charset val="238"/>
          </rPr>
          <t>VLOŽ JEDNOTKOVOU CENU ZHOTOVITELE ZA POLOŽKU</t>
        </r>
        <r>
          <rPr>
            <sz val="8"/>
            <color indexed="81"/>
            <rFont val="Tahoma"/>
            <family val="2"/>
            <charset val="238"/>
          </rPr>
          <t xml:space="preserve">
</t>
        </r>
      </text>
    </comment>
    <comment ref="G81" authorId="0" shapeId="0" xr:uid="{3FF4D5C6-766C-44F1-A6C0-B9827D924F76}">
      <text>
        <r>
          <rPr>
            <b/>
            <sz val="8"/>
            <color indexed="81"/>
            <rFont val="Tahoma"/>
            <family val="2"/>
            <charset val="238"/>
          </rPr>
          <t>VLOŽ JEDNOTKOVOU CENU ZHOTOVITELE ZA POLOŽKU</t>
        </r>
        <r>
          <rPr>
            <sz val="8"/>
            <color indexed="81"/>
            <rFont val="Tahoma"/>
            <family val="2"/>
            <charset val="238"/>
          </rPr>
          <t xml:space="preserve">
</t>
        </r>
      </text>
    </comment>
    <comment ref="G84" authorId="0" shapeId="0" xr:uid="{7CD66C50-A2F6-4967-B27B-C216A7F441DB}">
      <text>
        <r>
          <rPr>
            <b/>
            <sz val="8"/>
            <color indexed="81"/>
            <rFont val="Tahoma"/>
            <family val="2"/>
            <charset val="238"/>
          </rPr>
          <t>VLOŽ JEDNOTKOVOU CENU ZHOTOVITELE ZA POLOŽKU</t>
        </r>
        <r>
          <rPr>
            <sz val="8"/>
            <color indexed="81"/>
            <rFont val="Tahoma"/>
            <family val="2"/>
            <charset val="238"/>
          </rPr>
          <t xml:space="preserve">
</t>
        </r>
      </text>
    </comment>
    <comment ref="G86" authorId="0" shapeId="0" xr:uid="{8C8D4062-4632-4ECE-A725-3F2B73BB5D49}">
      <text>
        <r>
          <rPr>
            <b/>
            <sz val="8"/>
            <color indexed="81"/>
            <rFont val="Tahoma"/>
            <family val="2"/>
            <charset val="238"/>
          </rPr>
          <t>VLOŽ JEDNOTKOVOU CENU ZHOTOVITELE ZA POLOŽKU</t>
        </r>
        <r>
          <rPr>
            <sz val="8"/>
            <color indexed="81"/>
            <rFont val="Tahoma"/>
            <family val="2"/>
            <charset val="238"/>
          </rPr>
          <t xml:space="preserve">
</t>
        </r>
      </text>
    </comment>
    <comment ref="G89" authorId="0" shapeId="0" xr:uid="{683BE3C5-3164-4A16-B3C0-60D90506D23E}">
      <text>
        <r>
          <rPr>
            <b/>
            <sz val="8"/>
            <color indexed="81"/>
            <rFont val="Tahoma"/>
            <family val="2"/>
            <charset val="238"/>
          </rPr>
          <t>VLOŽ JEDNOTKOVOU CENU ZHOTOVITELE ZA POLOŽKU</t>
        </r>
        <r>
          <rPr>
            <sz val="8"/>
            <color indexed="81"/>
            <rFont val="Tahoma"/>
            <family val="2"/>
            <charset val="238"/>
          </rPr>
          <t xml:space="preserve">
</t>
        </r>
      </text>
    </comment>
    <comment ref="G92" authorId="0" shapeId="0" xr:uid="{03BDC037-3741-4BB7-BE74-70E0FC196262}">
      <text>
        <r>
          <rPr>
            <b/>
            <sz val="8"/>
            <color indexed="81"/>
            <rFont val="Tahoma"/>
            <family val="2"/>
            <charset val="238"/>
          </rPr>
          <t>VLOŽ JEDNOTKOVOU CENU ZHOTOVITELE ZA POLOŽKU</t>
        </r>
        <r>
          <rPr>
            <sz val="8"/>
            <color indexed="81"/>
            <rFont val="Tahoma"/>
            <family val="2"/>
            <charset val="238"/>
          </rPr>
          <t xml:space="preserve">
</t>
        </r>
      </text>
    </comment>
    <comment ref="G93" authorId="0" shapeId="0" xr:uid="{E1775F2F-F32C-44EC-A139-2F1436DD440D}">
      <text>
        <r>
          <rPr>
            <b/>
            <sz val="8"/>
            <color indexed="81"/>
            <rFont val="Tahoma"/>
            <family val="2"/>
            <charset val="238"/>
          </rPr>
          <t>VLOŽ JEDNOTKOVOU CENU ZHOTOVITELE ZA POLOŽKU</t>
        </r>
        <r>
          <rPr>
            <sz val="8"/>
            <color indexed="81"/>
            <rFont val="Tahoma"/>
            <family val="2"/>
            <charset val="238"/>
          </rPr>
          <t xml:space="preserve">
</t>
        </r>
      </text>
    </comment>
    <comment ref="G95" authorId="0" shapeId="0" xr:uid="{3372F12F-9551-46F6-873D-621E8935F8EC}">
      <text>
        <r>
          <rPr>
            <b/>
            <sz val="8"/>
            <color indexed="81"/>
            <rFont val="Tahoma"/>
            <family val="2"/>
            <charset val="238"/>
          </rPr>
          <t>VLOŽ JEDNOTKOVOU CENU ZHOTOVITELE ZA POLOŽKU</t>
        </r>
        <r>
          <rPr>
            <sz val="8"/>
            <color indexed="81"/>
            <rFont val="Tahoma"/>
            <family val="2"/>
            <charset val="238"/>
          </rPr>
          <t xml:space="preserve">
</t>
        </r>
      </text>
    </comment>
    <comment ref="G97" authorId="0" shapeId="0" xr:uid="{1375FC9D-5E86-468A-9357-EA3ECAF92920}">
      <text>
        <r>
          <rPr>
            <b/>
            <sz val="8"/>
            <color indexed="81"/>
            <rFont val="Tahoma"/>
            <family val="2"/>
            <charset val="238"/>
          </rPr>
          <t>VLOŽ JEDNOTKOVOU CENU ZHOTOVITELE ZA POLOŽKU</t>
        </r>
        <r>
          <rPr>
            <sz val="8"/>
            <color indexed="81"/>
            <rFont val="Tahoma"/>
            <family val="2"/>
            <charset val="238"/>
          </rPr>
          <t xml:space="preserve">
</t>
        </r>
      </text>
    </comment>
    <comment ref="G98" authorId="0" shapeId="0" xr:uid="{A4DCC45E-D7CB-44EC-AC3D-975BB8694DB4}">
      <text>
        <r>
          <rPr>
            <b/>
            <sz val="8"/>
            <color indexed="81"/>
            <rFont val="Tahoma"/>
            <family val="2"/>
            <charset val="238"/>
          </rPr>
          <t>VLOŽ JEDNOTKOVOU CENU ZHOTOVITELE ZA POLOŽKU</t>
        </r>
        <r>
          <rPr>
            <sz val="8"/>
            <color indexed="81"/>
            <rFont val="Tahoma"/>
            <family val="2"/>
            <charset val="238"/>
          </rPr>
          <t xml:space="preserve">
</t>
        </r>
      </text>
    </comment>
    <comment ref="G99" authorId="0" shapeId="0" xr:uid="{FA18B9B6-055B-49CA-9EE8-C8435DBB72D2}">
      <text>
        <r>
          <rPr>
            <b/>
            <sz val="8"/>
            <color indexed="81"/>
            <rFont val="Tahoma"/>
            <family val="2"/>
            <charset val="238"/>
          </rPr>
          <t>VLOŽ JEDNOTKOVOU CENU ZHOTOVITELE ZA POLOŽKU</t>
        </r>
        <r>
          <rPr>
            <sz val="8"/>
            <color indexed="81"/>
            <rFont val="Tahoma"/>
            <family val="2"/>
            <charset val="238"/>
          </rPr>
          <t xml:space="preserve">
</t>
        </r>
      </text>
    </comment>
    <comment ref="G102" authorId="0" shapeId="0" xr:uid="{59F8F7E8-7D5C-4659-A812-7F52D47EDE7B}">
      <text>
        <r>
          <rPr>
            <b/>
            <sz val="8"/>
            <color indexed="81"/>
            <rFont val="Tahoma"/>
            <family val="2"/>
            <charset val="238"/>
          </rPr>
          <t>VLOŽ JEDNOTKOVOU CENU ZHOTOVITELE ZA POLOŽKU</t>
        </r>
        <r>
          <rPr>
            <sz val="8"/>
            <color indexed="81"/>
            <rFont val="Tahoma"/>
            <family val="2"/>
            <charset val="238"/>
          </rPr>
          <t xml:space="preserve">
</t>
        </r>
      </text>
    </comment>
    <comment ref="G103" authorId="0" shapeId="0" xr:uid="{2D98F04C-626E-48F3-8242-1839277FA1CD}">
      <text>
        <r>
          <rPr>
            <b/>
            <sz val="8"/>
            <color indexed="81"/>
            <rFont val="Tahoma"/>
            <family val="2"/>
            <charset val="238"/>
          </rPr>
          <t>VLOŽ JEDNOTKOVOU CENU ZHOTOVITELE ZA POLOŽKU</t>
        </r>
        <r>
          <rPr>
            <sz val="8"/>
            <color indexed="81"/>
            <rFont val="Tahoma"/>
            <family val="2"/>
            <charset val="238"/>
          </rPr>
          <t xml:space="preserve">
</t>
        </r>
      </text>
    </comment>
    <comment ref="G105" authorId="0" shapeId="0" xr:uid="{807E09A4-30E7-42C0-A76C-2E29B703CA49}">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D1C4C201-C94A-4BD8-BBA4-3D1B46B55D1C}">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FF6E90AB-9DA9-49D8-9361-34CFE118D142}">
      <text>
        <r>
          <rPr>
            <b/>
            <sz val="8"/>
            <color indexed="81"/>
            <rFont val="Tahoma"/>
            <family val="2"/>
            <charset val="238"/>
          </rPr>
          <t>VLOŽ JEDNOTKOVOU CENU ZHOTOVITELE ZA POLOŽKU</t>
        </r>
        <r>
          <rPr>
            <sz val="8"/>
            <color indexed="81"/>
            <rFont val="Tahoma"/>
            <family val="2"/>
            <charset val="238"/>
          </rPr>
          <t xml:space="preserve">
</t>
        </r>
      </text>
    </comment>
    <comment ref="G17" authorId="0" shapeId="0" xr:uid="{55686364-558D-4393-B91B-45B03A0567BC}">
      <text>
        <r>
          <rPr>
            <b/>
            <sz val="8"/>
            <color indexed="81"/>
            <rFont val="Tahoma"/>
            <family val="2"/>
            <charset val="238"/>
          </rPr>
          <t>VLOŽ JEDNOTKOVOU CENU ZHOTOVITELE ZA POLOŽKU</t>
        </r>
        <r>
          <rPr>
            <sz val="8"/>
            <color indexed="81"/>
            <rFont val="Tahoma"/>
            <family val="2"/>
            <charset val="238"/>
          </rPr>
          <t xml:space="preserve">
</t>
        </r>
      </text>
    </comment>
    <comment ref="G20" authorId="0" shapeId="0" xr:uid="{A5EA42FE-6FD1-4DC7-A818-EDD08DD33D36}">
      <text>
        <r>
          <rPr>
            <b/>
            <sz val="8"/>
            <color indexed="81"/>
            <rFont val="Tahoma"/>
            <family val="2"/>
            <charset val="238"/>
          </rPr>
          <t>VLOŽ JEDNOTKOVOU CENU ZHOTOVITELE ZA POLOŽKU</t>
        </r>
        <r>
          <rPr>
            <sz val="8"/>
            <color indexed="81"/>
            <rFont val="Tahoma"/>
            <family val="2"/>
            <charset val="238"/>
          </rPr>
          <t xml:space="preserve">
</t>
        </r>
      </text>
    </comment>
    <comment ref="G22" authorId="0" shapeId="0" xr:uid="{8825336B-A692-4A26-9029-91E920208ABF}">
      <text>
        <r>
          <rPr>
            <b/>
            <sz val="8"/>
            <color indexed="81"/>
            <rFont val="Tahoma"/>
            <family val="2"/>
            <charset val="238"/>
          </rPr>
          <t>VLOŽ JEDNOTKOVOU CENU ZHOTOVITELE ZA POLOŽKU</t>
        </r>
        <r>
          <rPr>
            <sz val="8"/>
            <color indexed="81"/>
            <rFont val="Tahoma"/>
            <family val="2"/>
            <charset val="238"/>
          </rPr>
          <t xml:space="preserve">
</t>
        </r>
      </text>
    </comment>
    <comment ref="G25" authorId="0" shapeId="0" xr:uid="{3FCE5D85-B994-4FFD-A780-798BAE8C6CF3}">
      <text>
        <r>
          <rPr>
            <b/>
            <sz val="8"/>
            <color indexed="81"/>
            <rFont val="Tahoma"/>
            <family val="2"/>
            <charset val="238"/>
          </rPr>
          <t>VLOŽ JEDNOTKOVOU CENU ZHOTOVITELE ZA POLOŽKU</t>
        </r>
        <r>
          <rPr>
            <sz val="8"/>
            <color indexed="81"/>
            <rFont val="Tahoma"/>
            <family val="2"/>
            <charset val="238"/>
          </rPr>
          <t xml:space="preserve">
</t>
        </r>
      </text>
    </comment>
    <comment ref="G27" authorId="0" shapeId="0" xr:uid="{665CB1D8-FE40-4C83-9258-12E313047C0A}">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5C6DA4A6-08E5-4D31-8734-D35F8D94FDA8}">
      <text>
        <r>
          <rPr>
            <b/>
            <sz val="8"/>
            <color indexed="81"/>
            <rFont val="Tahoma"/>
            <family val="2"/>
            <charset val="238"/>
          </rPr>
          <t>VLOŽ JEDNOTKOVOU CENU ZHOTOVITELE ZA POLOŽKU</t>
        </r>
        <r>
          <rPr>
            <sz val="8"/>
            <color indexed="81"/>
            <rFont val="Tahoma"/>
            <family val="2"/>
            <charset val="238"/>
          </rPr>
          <t xml:space="preserve">
</t>
        </r>
      </text>
    </comment>
    <comment ref="G31" authorId="0" shapeId="0" xr:uid="{12110D57-534E-48D5-8020-B0CF7F9892F5}">
      <text>
        <r>
          <rPr>
            <b/>
            <sz val="8"/>
            <color indexed="81"/>
            <rFont val="Tahoma"/>
            <family val="2"/>
            <charset val="238"/>
          </rPr>
          <t>VLOŽ JEDNOTKOVOU CENU ZHOTOVITELE ZA POLOŽKU</t>
        </r>
        <r>
          <rPr>
            <sz val="8"/>
            <color indexed="81"/>
            <rFont val="Tahoma"/>
            <family val="2"/>
            <charset val="238"/>
          </rPr>
          <t xml:space="preserve">
</t>
        </r>
      </text>
    </comment>
    <comment ref="G34" authorId="0" shapeId="0" xr:uid="{06458691-ECD0-4685-9842-E5B35DDEB685}">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34309BD6-20B5-47D9-8E5C-AC716C730FEE}">
      <text>
        <r>
          <rPr>
            <b/>
            <sz val="8"/>
            <color indexed="81"/>
            <rFont val="Tahoma"/>
            <family val="2"/>
            <charset val="238"/>
          </rPr>
          <t>VLOŽ JEDNOTKOVOU CENU ZHOTOVITELE ZA POLOŽKU</t>
        </r>
        <r>
          <rPr>
            <sz val="8"/>
            <color indexed="81"/>
            <rFont val="Tahoma"/>
            <family val="2"/>
            <charset val="238"/>
          </rPr>
          <t xml:space="preserve">
</t>
        </r>
      </text>
    </comment>
    <comment ref="G39" authorId="0" shapeId="0" xr:uid="{FA55D3E1-E812-4089-A8D1-F033C93A1E80}">
      <text>
        <r>
          <rPr>
            <b/>
            <sz val="8"/>
            <color indexed="81"/>
            <rFont val="Tahoma"/>
            <family val="2"/>
            <charset val="238"/>
          </rPr>
          <t>VLOŽ JEDNOTKOVOU CENU ZHOTOVITELE ZA POLOŽKU</t>
        </r>
        <r>
          <rPr>
            <sz val="8"/>
            <color indexed="81"/>
            <rFont val="Tahoma"/>
            <family val="2"/>
            <charset val="238"/>
          </rPr>
          <t xml:space="preserve">
</t>
        </r>
      </text>
    </comment>
    <comment ref="G41" authorId="0" shapeId="0" xr:uid="{19D0CCF7-CBFE-4E61-A9DE-4E1CB19647DE}">
      <text>
        <r>
          <rPr>
            <b/>
            <sz val="8"/>
            <color indexed="81"/>
            <rFont val="Tahoma"/>
            <family val="2"/>
            <charset val="238"/>
          </rPr>
          <t>VLOŽ JEDNOTKOVOU CENU ZHOTOVITELE ZA POLOŽKU</t>
        </r>
        <r>
          <rPr>
            <sz val="8"/>
            <color indexed="81"/>
            <rFont val="Tahoma"/>
            <family val="2"/>
            <charset val="238"/>
          </rPr>
          <t xml:space="preserve">
</t>
        </r>
      </text>
    </comment>
    <comment ref="G43" authorId="0" shapeId="0" xr:uid="{F9184654-4BE1-404B-8BE6-C7B81ED9AD24}">
      <text>
        <r>
          <rPr>
            <b/>
            <sz val="8"/>
            <color indexed="81"/>
            <rFont val="Tahoma"/>
            <family val="2"/>
            <charset val="238"/>
          </rPr>
          <t>VLOŽ JEDNOTKOVOU CENU ZHOTOVITELE ZA POLOŽKU</t>
        </r>
        <r>
          <rPr>
            <sz val="8"/>
            <color indexed="81"/>
            <rFont val="Tahoma"/>
            <family val="2"/>
            <charset val="238"/>
          </rPr>
          <t xml:space="preserve">
</t>
        </r>
      </text>
    </comment>
    <comment ref="G45" authorId="0" shapeId="0" xr:uid="{4B4989C3-D003-4D23-B9F2-EA328724062C}">
      <text>
        <r>
          <rPr>
            <b/>
            <sz val="8"/>
            <color indexed="81"/>
            <rFont val="Tahoma"/>
            <family val="2"/>
            <charset val="238"/>
          </rPr>
          <t>VLOŽ JEDNOTKOVOU CENU ZHOTOVITELE ZA POLOŽKU</t>
        </r>
        <r>
          <rPr>
            <sz val="8"/>
            <color indexed="81"/>
            <rFont val="Tahoma"/>
            <family val="2"/>
            <charset val="238"/>
          </rPr>
          <t xml:space="preserve">
</t>
        </r>
      </text>
    </comment>
    <comment ref="G47" authorId="0" shapeId="0" xr:uid="{2B1F5100-784C-402C-B1FE-8CC8F54844BB}">
      <text>
        <r>
          <rPr>
            <b/>
            <sz val="8"/>
            <color indexed="81"/>
            <rFont val="Tahoma"/>
            <family val="2"/>
            <charset val="238"/>
          </rPr>
          <t>VLOŽ JEDNOTKOVOU CENU ZHOTOVITELE ZA POLOŽKU</t>
        </r>
        <r>
          <rPr>
            <sz val="8"/>
            <color indexed="81"/>
            <rFont val="Tahoma"/>
            <family val="2"/>
            <charset val="238"/>
          </rPr>
          <t xml:space="preserve">
</t>
        </r>
      </text>
    </comment>
    <comment ref="G49" authorId="0" shapeId="0" xr:uid="{02410EEA-D4FF-421F-B91C-3A48683ABB36}">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12B99059-6A5C-49D5-B6AB-D9F631C1D19F}">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EE99D9BA-D905-4F1B-98C8-1A22FE898C7F}">
      <text>
        <r>
          <rPr>
            <b/>
            <sz val="8"/>
            <color indexed="81"/>
            <rFont val="Tahoma"/>
            <family val="2"/>
            <charset val="238"/>
          </rPr>
          <t>VLOŽ JEDNOTKOVOU CENU ZHOTOVITELE ZA POLOŽKU</t>
        </r>
        <r>
          <rPr>
            <sz val="8"/>
            <color indexed="81"/>
            <rFont val="Tahoma"/>
            <family val="2"/>
            <charset val="238"/>
          </rPr>
          <t xml:space="preserve">
</t>
        </r>
      </text>
    </comment>
    <comment ref="G56" authorId="0" shapeId="0" xr:uid="{CED50DC9-5035-4FF0-B6ED-CC4FE00C0DD0}">
      <text>
        <r>
          <rPr>
            <b/>
            <sz val="8"/>
            <color indexed="81"/>
            <rFont val="Tahoma"/>
            <family val="2"/>
            <charset val="238"/>
          </rPr>
          <t>VLOŽ JEDNOTKOVOU CENU ZHOTOVITELE ZA POLOŽKU</t>
        </r>
        <r>
          <rPr>
            <sz val="8"/>
            <color indexed="81"/>
            <rFont val="Tahoma"/>
            <family val="2"/>
            <charset val="238"/>
          </rPr>
          <t xml:space="preserve">
</t>
        </r>
      </text>
    </comment>
    <comment ref="G59" authorId="0" shapeId="0" xr:uid="{7A647FEC-B8BC-4041-AB87-E33F52F74500}">
      <text>
        <r>
          <rPr>
            <b/>
            <sz val="8"/>
            <color indexed="81"/>
            <rFont val="Tahoma"/>
            <family val="2"/>
            <charset val="238"/>
          </rPr>
          <t>VLOŽ JEDNOTKOVOU CENU ZHOTOVITELE ZA POLOŽKU</t>
        </r>
        <r>
          <rPr>
            <sz val="8"/>
            <color indexed="81"/>
            <rFont val="Tahoma"/>
            <family val="2"/>
            <charset val="238"/>
          </rPr>
          <t xml:space="preserve">
</t>
        </r>
      </text>
    </comment>
    <comment ref="G62" authorId="0" shapeId="0" xr:uid="{4A610DCF-E915-4E5B-92D8-A73B0F0D8F6A}">
      <text>
        <r>
          <rPr>
            <b/>
            <sz val="8"/>
            <color indexed="81"/>
            <rFont val="Tahoma"/>
            <family val="2"/>
            <charset val="238"/>
          </rPr>
          <t>VLOŽ JEDNOTKOVOU CENU ZHOTOVITELE ZA POLOŽKU</t>
        </r>
        <r>
          <rPr>
            <sz val="8"/>
            <color indexed="81"/>
            <rFont val="Tahoma"/>
            <family val="2"/>
            <charset val="238"/>
          </rPr>
          <t xml:space="preserve">
</t>
        </r>
      </text>
    </comment>
    <comment ref="G65" authorId="0" shapeId="0" xr:uid="{9B290EA2-2D03-4222-BDE7-D932D83F9F05}">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F2A6DFFC-2E38-4C89-8FBA-E3CA74E61C0E}">
      <text>
        <r>
          <rPr>
            <b/>
            <sz val="8"/>
            <color indexed="81"/>
            <rFont val="Tahoma"/>
            <family val="2"/>
            <charset val="238"/>
          </rPr>
          <t>VLOŽ JEDNOTKOVOU CENU ZHOTOVITELE ZA POLOŽKU</t>
        </r>
        <r>
          <rPr>
            <sz val="8"/>
            <color indexed="81"/>
            <rFont val="Tahoma"/>
            <family val="2"/>
            <charset val="238"/>
          </rPr>
          <t xml:space="preserve">
</t>
        </r>
      </text>
    </comment>
    <comment ref="G71" authorId="0" shapeId="0" xr:uid="{CE03B68A-D4DA-4D69-85AB-E6F012B46033}">
      <text>
        <r>
          <rPr>
            <b/>
            <sz val="8"/>
            <color indexed="81"/>
            <rFont val="Tahoma"/>
            <family val="2"/>
            <charset val="238"/>
          </rPr>
          <t>VLOŽ JEDNOTKOVOU CENU ZHOTOVITELE ZA POLOŽKU</t>
        </r>
        <r>
          <rPr>
            <sz val="8"/>
            <color indexed="81"/>
            <rFont val="Tahoma"/>
            <family val="2"/>
            <charset val="238"/>
          </rPr>
          <t xml:space="preserve">
</t>
        </r>
      </text>
    </comment>
    <comment ref="G73" authorId="0" shapeId="0" xr:uid="{2C7AA8AA-AC49-42D3-8B3D-22FD86122831}">
      <text>
        <r>
          <rPr>
            <b/>
            <sz val="8"/>
            <color indexed="81"/>
            <rFont val="Tahoma"/>
            <family val="2"/>
            <charset val="238"/>
          </rPr>
          <t>VLOŽ JEDNOTKOVOU CENU ZHOTOVITELE ZA POLOŽKU</t>
        </r>
        <r>
          <rPr>
            <sz val="8"/>
            <color indexed="81"/>
            <rFont val="Tahoma"/>
            <family val="2"/>
            <charset val="238"/>
          </rPr>
          <t xml:space="preserve">
</t>
        </r>
      </text>
    </comment>
    <comment ref="G75" authorId="0" shapeId="0" xr:uid="{A408F4D2-AC53-4B73-A6CF-EF168A66E48F}">
      <text>
        <r>
          <rPr>
            <b/>
            <sz val="8"/>
            <color indexed="81"/>
            <rFont val="Tahoma"/>
            <family val="2"/>
            <charset val="238"/>
          </rPr>
          <t>VLOŽ JEDNOTKOVOU CENU ZHOTOVITELE ZA POLOŽKU</t>
        </r>
        <r>
          <rPr>
            <sz val="8"/>
            <color indexed="81"/>
            <rFont val="Tahoma"/>
            <family val="2"/>
            <charset val="238"/>
          </rPr>
          <t xml:space="preserve">
</t>
        </r>
      </text>
    </comment>
    <comment ref="G77" authorId="0" shapeId="0" xr:uid="{13D3F5FF-D69E-49D8-85F4-A81D0D64459E}">
      <text>
        <r>
          <rPr>
            <b/>
            <sz val="8"/>
            <color indexed="81"/>
            <rFont val="Tahoma"/>
            <family val="2"/>
            <charset val="238"/>
          </rPr>
          <t>VLOŽ JEDNOTKOVOU CENU ZHOTOVITELE ZA POLOŽKU</t>
        </r>
        <r>
          <rPr>
            <sz val="8"/>
            <color indexed="81"/>
            <rFont val="Tahoma"/>
            <family val="2"/>
            <charset val="238"/>
          </rPr>
          <t xml:space="preserve">
</t>
        </r>
      </text>
    </comment>
    <comment ref="G80" authorId="0" shapeId="0" xr:uid="{24C4D625-AA26-43D5-9245-CAED189E4E3D}">
      <text>
        <r>
          <rPr>
            <b/>
            <sz val="8"/>
            <color indexed="81"/>
            <rFont val="Tahoma"/>
            <family val="2"/>
            <charset val="238"/>
          </rPr>
          <t>VLOŽ JEDNOTKOVOU CENU ZHOTOVITELE ZA POLOŽKU</t>
        </r>
        <r>
          <rPr>
            <sz val="8"/>
            <color indexed="81"/>
            <rFont val="Tahoma"/>
            <family val="2"/>
            <charset val="238"/>
          </rPr>
          <t xml:space="preserve">
</t>
        </r>
      </text>
    </comment>
    <comment ref="G83" authorId="0" shapeId="0" xr:uid="{0E19C367-61B3-4600-A67F-F92BE3E99B99}">
      <text>
        <r>
          <rPr>
            <b/>
            <sz val="8"/>
            <color indexed="81"/>
            <rFont val="Tahoma"/>
            <family val="2"/>
            <charset val="238"/>
          </rPr>
          <t>VLOŽ JEDNOTKOVOU CENU ZHOTOVITELE ZA POLOŽKU</t>
        </r>
        <r>
          <rPr>
            <sz val="8"/>
            <color indexed="81"/>
            <rFont val="Tahoma"/>
            <family val="2"/>
            <charset val="238"/>
          </rPr>
          <t xml:space="preserve">
</t>
        </r>
      </text>
    </comment>
    <comment ref="G85" authorId="0" shapeId="0" xr:uid="{FCD37975-168C-499A-91CA-C302A7AA472A}">
      <text>
        <r>
          <rPr>
            <b/>
            <sz val="8"/>
            <color indexed="81"/>
            <rFont val="Tahoma"/>
            <family val="2"/>
            <charset val="238"/>
          </rPr>
          <t>VLOŽ JEDNOTKOVOU CENU ZHOTOVITELE ZA POLOŽKU</t>
        </r>
        <r>
          <rPr>
            <sz val="8"/>
            <color indexed="81"/>
            <rFont val="Tahoma"/>
            <family val="2"/>
            <charset val="238"/>
          </rPr>
          <t xml:space="preserve">
</t>
        </r>
      </text>
    </comment>
    <comment ref="G88" authorId="0" shapeId="0" xr:uid="{523BA036-6142-470C-BCE0-5028E7C910C3}">
      <text>
        <r>
          <rPr>
            <b/>
            <sz val="8"/>
            <color indexed="81"/>
            <rFont val="Tahoma"/>
            <family val="2"/>
            <charset val="238"/>
          </rPr>
          <t>VLOŽ JEDNOTKOVOU CENU ZHOTOVITELE ZA POLOŽKU</t>
        </r>
        <r>
          <rPr>
            <sz val="8"/>
            <color indexed="81"/>
            <rFont val="Tahoma"/>
            <family val="2"/>
            <charset val="238"/>
          </rPr>
          <t xml:space="preserve">
</t>
        </r>
      </text>
    </comment>
    <comment ref="G91" authorId="0" shapeId="0" xr:uid="{A9E96725-B8BD-4D20-A501-2F5D18E86B50}">
      <text>
        <r>
          <rPr>
            <b/>
            <sz val="8"/>
            <color indexed="81"/>
            <rFont val="Tahoma"/>
            <family val="2"/>
            <charset val="238"/>
          </rPr>
          <t>VLOŽ JEDNOTKOVOU CENU ZHOTOVITELE ZA POLOŽKU</t>
        </r>
        <r>
          <rPr>
            <sz val="8"/>
            <color indexed="81"/>
            <rFont val="Tahoma"/>
            <family val="2"/>
            <charset val="238"/>
          </rPr>
          <t xml:space="preserve">
</t>
        </r>
      </text>
    </comment>
    <comment ref="G92" authorId="0" shapeId="0" xr:uid="{59A7972B-6E9D-4FD6-9273-B04536B01985}">
      <text>
        <r>
          <rPr>
            <b/>
            <sz val="8"/>
            <color indexed="81"/>
            <rFont val="Tahoma"/>
            <family val="2"/>
            <charset val="238"/>
          </rPr>
          <t>VLOŽ JEDNOTKOVOU CENU ZHOTOVITELE ZA POLOŽKU</t>
        </r>
        <r>
          <rPr>
            <sz val="8"/>
            <color indexed="81"/>
            <rFont val="Tahoma"/>
            <family val="2"/>
            <charset val="238"/>
          </rPr>
          <t xml:space="preserve">
</t>
        </r>
      </text>
    </comment>
    <comment ref="G94" authorId="0" shapeId="0" xr:uid="{C80DD845-61A2-4A02-B481-9487A35EC38A}">
      <text>
        <r>
          <rPr>
            <b/>
            <sz val="8"/>
            <color indexed="81"/>
            <rFont val="Tahoma"/>
            <family val="2"/>
            <charset val="238"/>
          </rPr>
          <t>VLOŽ JEDNOTKOVOU CENU ZHOTOVITELE ZA POLOŽKU</t>
        </r>
        <r>
          <rPr>
            <sz val="8"/>
            <color indexed="81"/>
            <rFont val="Tahoma"/>
            <family val="2"/>
            <charset val="238"/>
          </rPr>
          <t xml:space="preserve">
</t>
        </r>
      </text>
    </comment>
    <comment ref="G96" authorId="0" shapeId="0" xr:uid="{214DAD06-FA38-48DB-B231-C6387CDE1ED1}">
      <text>
        <r>
          <rPr>
            <b/>
            <sz val="8"/>
            <color indexed="81"/>
            <rFont val="Tahoma"/>
            <family val="2"/>
            <charset val="238"/>
          </rPr>
          <t>VLOŽ JEDNOTKOVOU CENU ZHOTOVITELE ZA POLOŽKU</t>
        </r>
        <r>
          <rPr>
            <sz val="8"/>
            <color indexed="81"/>
            <rFont val="Tahoma"/>
            <family val="2"/>
            <charset val="238"/>
          </rPr>
          <t xml:space="preserve">
</t>
        </r>
      </text>
    </comment>
    <comment ref="G98" authorId="0" shapeId="0" xr:uid="{C43C7801-9DFD-413C-8B8A-FC03DAD5D9C6}">
      <text>
        <r>
          <rPr>
            <b/>
            <sz val="8"/>
            <color indexed="81"/>
            <rFont val="Tahoma"/>
            <family val="2"/>
            <charset val="238"/>
          </rPr>
          <t>VLOŽ JEDNOTKOVOU CENU ZHOTOVITELE ZA POLOŽKU</t>
        </r>
        <r>
          <rPr>
            <sz val="8"/>
            <color indexed="81"/>
            <rFont val="Tahoma"/>
            <family val="2"/>
            <charset val="238"/>
          </rPr>
          <t xml:space="preserve">
</t>
        </r>
      </text>
    </comment>
    <comment ref="G99" authorId="0" shapeId="0" xr:uid="{40552E31-A95D-41A8-B2F2-5A093F6E83B5}">
      <text>
        <r>
          <rPr>
            <b/>
            <sz val="8"/>
            <color indexed="81"/>
            <rFont val="Tahoma"/>
            <family val="2"/>
            <charset val="238"/>
          </rPr>
          <t>VLOŽ JEDNOTKOVOU CENU ZHOTOVITELE ZA POLOŽKU</t>
        </r>
        <r>
          <rPr>
            <sz val="8"/>
            <color indexed="81"/>
            <rFont val="Tahoma"/>
            <family val="2"/>
            <charset val="238"/>
          </rPr>
          <t xml:space="preserve">
</t>
        </r>
      </text>
    </comment>
    <comment ref="G101" authorId="0" shapeId="0" xr:uid="{2FD8DEB9-22A9-41B3-838F-16D3B423BDF1}">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57DC0847-32CA-4B42-AD0E-7A044BDAD76F}">
      <text>
        <r>
          <rPr>
            <b/>
            <sz val="8"/>
            <color indexed="81"/>
            <rFont val="Tahoma"/>
            <family val="2"/>
            <charset val="238"/>
          </rPr>
          <t>VLOŽ JEDNOTKOVOU CENU ZHOTOVITELE ZA POLOŽKU</t>
        </r>
        <r>
          <rPr>
            <sz val="8"/>
            <color indexed="81"/>
            <rFont val="Tahoma"/>
            <family val="2"/>
            <charset val="238"/>
          </rPr>
          <t xml:space="preserve">
</t>
        </r>
      </text>
    </comment>
    <comment ref="G16" authorId="0" shapeId="0" xr:uid="{5B7D8725-EA87-459A-B7D0-4F628BC2F7CC}">
      <text>
        <r>
          <rPr>
            <b/>
            <sz val="8"/>
            <color indexed="81"/>
            <rFont val="Tahoma"/>
            <family val="2"/>
            <charset val="238"/>
          </rPr>
          <t>VLOŽ JEDNOTKOVOU CENU ZHOTOVITELE ZA POLOŽKU</t>
        </r>
        <r>
          <rPr>
            <sz val="8"/>
            <color indexed="81"/>
            <rFont val="Tahoma"/>
            <family val="2"/>
            <charset val="238"/>
          </rPr>
          <t xml:space="preserve">
</t>
        </r>
      </text>
    </comment>
    <comment ref="G18" authorId="0" shapeId="0" xr:uid="{B26CB7E0-E2F9-4A7C-8D00-DBF79A0D07EF}">
      <text>
        <r>
          <rPr>
            <b/>
            <sz val="8"/>
            <color indexed="81"/>
            <rFont val="Tahoma"/>
            <family val="2"/>
            <charset val="238"/>
          </rPr>
          <t>VLOŽ JEDNOTKOVOU CENU ZHOTOVITELE ZA POLOŽKU</t>
        </r>
        <r>
          <rPr>
            <sz val="8"/>
            <color indexed="81"/>
            <rFont val="Tahoma"/>
            <family val="2"/>
            <charset val="238"/>
          </rPr>
          <t xml:space="preserve">
</t>
        </r>
      </text>
    </comment>
    <comment ref="G20" authorId="0" shapeId="0" xr:uid="{84DD5852-0C35-477B-BAE2-C905A270E061}">
      <text>
        <r>
          <rPr>
            <b/>
            <sz val="8"/>
            <color indexed="81"/>
            <rFont val="Tahoma"/>
            <family val="2"/>
            <charset val="238"/>
          </rPr>
          <t>VLOŽ JEDNOTKOVOU CENU ZHOTOVITELE ZA POLOŽKU</t>
        </r>
        <r>
          <rPr>
            <sz val="8"/>
            <color indexed="81"/>
            <rFont val="Tahoma"/>
            <family val="2"/>
            <charset val="238"/>
          </rPr>
          <t xml:space="preserve">
</t>
        </r>
      </text>
    </comment>
    <comment ref="G22" authorId="0" shapeId="0" xr:uid="{45FEFF73-A5B7-44D5-9BE5-7C0E95724397}">
      <text>
        <r>
          <rPr>
            <b/>
            <sz val="8"/>
            <color indexed="81"/>
            <rFont val="Tahoma"/>
            <family val="2"/>
            <charset val="238"/>
          </rPr>
          <t>VLOŽ JEDNOTKOVOU CENU ZHOTOVITELE ZA POLOŽKU</t>
        </r>
        <r>
          <rPr>
            <sz val="8"/>
            <color indexed="81"/>
            <rFont val="Tahoma"/>
            <family val="2"/>
            <charset val="238"/>
          </rPr>
          <t xml:space="preserve">
</t>
        </r>
      </text>
    </comment>
    <comment ref="G24" authorId="0" shapeId="0" xr:uid="{214795D4-40D5-4DF4-A14A-F469275230E4}">
      <text>
        <r>
          <rPr>
            <b/>
            <sz val="8"/>
            <color indexed="81"/>
            <rFont val="Tahoma"/>
            <family val="2"/>
            <charset val="238"/>
          </rPr>
          <t>VLOŽ JEDNOTKOVOU CENU ZHOTOVITELE ZA POLOŽKU</t>
        </r>
        <r>
          <rPr>
            <sz val="8"/>
            <color indexed="81"/>
            <rFont val="Tahoma"/>
            <family val="2"/>
            <charset val="238"/>
          </rPr>
          <t xml:space="preserve">
</t>
        </r>
      </text>
    </comment>
    <comment ref="G26" authorId="0" shapeId="0" xr:uid="{6A2B560B-4078-44AC-BD9D-B4DA595592D6}">
      <text>
        <r>
          <rPr>
            <b/>
            <sz val="8"/>
            <color indexed="81"/>
            <rFont val="Tahoma"/>
            <family val="2"/>
            <charset val="238"/>
          </rPr>
          <t>VLOŽ JEDNOTKOVOU CENU ZHOTOVITELE ZA POLOŽKU</t>
        </r>
        <r>
          <rPr>
            <sz val="8"/>
            <color indexed="81"/>
            <rFont val="Tahoma"/>
            <family val="2"/>
            <charset val="238"/>
          </rPr>
          <t xml:space="preserve">
</t>
        </r>
      </text>
    </comment>
    <comment ref="G28" authorId="0" shapeId="0" xr:uid="{7015397E-45F4-4BAC-AD8C-43475BD87FE7}">
      <text>
        <r>
          <rPr>
            <b/>
            <sz val="8"/>
            <color indexed="81"/>
            <rFont val="Tahoma"/>
            <family val="2"/>
            <charset val="238"/>
          </rPr>
          <t>VLOŽ JEDNOTKOVOU CENU ZHOTOVITELE ZA POLOŽKU</t>
        </r>
        <r>
          <rPr>
            <sz val="8"/>
            <color indexed="81"/>
            <rFont val="Tahoma"/>
            <family val="2"/>
            <charset val="238"/>
          </rPr>
          <t xml:space="preserve">
</t>
        </r>
      </text>
    </comment>
    <comment ref="G30" authorId="0" shapeId="0" xr:uid="{A7F167D5-DADE-4F38-8D3F-D5D7D0A984DE}">
      <text>
        <r>
          <rPr>
            <b/>
            <sz val="8"/>
            <color indexed="81"/>
            <rFont val="Tahoma"/>
            <family val="2"/>
            <charset val="238"/>
          </rPr>
          <t>VLOŽ JEDNOTKOVOU CENU ZHOTOVITELE ZA POLOŽKU</t>
        </r>
        <r>
          <rPr>
            <sz val="8"/>
            <color indexed="81"/>
            <rFont val="Tahoma"/>
            <family val="2"/>
            <charset val="238"/>
          </rPr>
          <t xml:space="preserve">
</t>
        </r>
      </text>
    </comment>
    <comment ref="G33" authorId="0" shapeId="0" xr:uid="{7DF4B4B5-E0C7-4B95-BE98-3D2927B464FA}">
      <text>
        <r>
          <rPr>
            <b/>
            <sz val="8"/>
            <color indexed="81"/>
            <rFont val="Tahoma"/>
            <family val="2"/>
            <charset val="238"/>
          </rPr>
          <t>VLOŽ JEDNOTKOVOU CENU ZHOTOVITELE ZA POLOŽKU</t>
        </r>
        <r>
          <rPr>
            <sz val="8"/>
            <color indexed="81"/>
            <rFont val="Tahoma"/>
            <family val="2"/>
            <charset val="238"/>
          </rPr>
          <t xml:space="preserve">
</t>
        </r>
      </text>
    </comment>
    <comment ref="G35" authorId="0" shapeId="0" xr:uid="{E838F36B-6309-4465-A884-867956229DC3}">
      <text>
        <r>
          <rPr>
            <b/>
            <sz val="8"/>
            <color indexed="81"/>
            <rFont val="Tahoma"/>
            <family val="2"/>
            <charset val="238"/>
          </rPr>
          <t>VLOŽ JEDNOTKOVOU CENU ZHOTOVITELE ZA POLOŽKU</t>
        </r>
        <r>
          <rPr>
            <sz val="8"/>
            <color indexed="81"/>
            <rFont val="Tahoma"/>
            <family val="2"/>
            <charset val="238"/>
          </rPr>
          <t xml:space="preserve">
</t>
        </r>
      </text>
    </comment>
    <comment ref="G38" authorId="0" shapeId="0" xr:uid="{7024CF78-9046-4936-BC53-E557BC07B7A8}">
      <text>
        <r>
          <rPr>
            <b/>
            <sz val="8"/>
            <color indexed="81"/>
            <rFont val="Tahoma"/>
            <family val="2"/>
            <charset val="238"/>
          </rPr>
          <t>VLOŽ JEDNOTKOVOU CENU ZHOTOVITELE ZA POLOŽKU</t>
        </r>
        <r>
          <rPr>
            <sz val="8"/>
            <color indexed="81"/>
            <rFont val="Tahoma"/>
            <family val="2"/>
            <charset val="238"/>
          </rPr>
          <t xml:space="preserve">
</t>
        </r>
      </text>
    </comment>
    <comment ref="G40" authorId="0" shapeId="0" xr:uid="{8E4D667B-5A2E-43FB-97D2-D94EB85A4C29}">
      <text>
        <r>
          <rPr>
            <b/>
            <sz val="8"/>
            <color indexed="81"/>
            <rFont val="Tahoma"/>
            <family val="2"/>
            <charset val="238"/>
          </rPr>
          <t>VLOŽ JEDNOTKOVOU CENU ZHOTOVITELE ZA POLOŽKU</t>
        </r>
        <r>
          <rPr>
            <sz val="8"/>
            <color indexed="81"/>
            <rFont val="Tahoma"/>
            <family val="2"/>
            <charset val="238"/>
          </rPr>
          <t xml:space="preserve">
</t>
        </r>
      </text>
    </comment>
    <comment ref="G42" authorId="0" shapeId="0" xr:uid="{E6E66174-1993-4937-A1FD-761210E01056}">
      <text>
        <r>
          <rPr>
            <b/>
            <sz val="8"/>
            <color indexed="81"/>
            <rFont val="Tahoma"/>
            <family val="2"/>
            <charset val="238"/>
          </rPr>
          <t>VLOŽ JEDNOTKOVOU CENU ZHOTOVITELE ZA POLOŽKU</t>
        </r>
        <r>
          <rPr>
            <sz val="8"/>
            <color indexed="81"/>
            <rFont val="Tahoma"/>
            <family val="2"/>
            <charset val="238"/>
          </rPr>
          <t xml:space="preserve">
</t>
        </r>
      </text>
    </comment>
    <comment ref="G44" authorId="0" shapeId="0" xr:uid="{51EA61C7-A1F7-47C5-92A4-6CB1594322D9}">
      <text>
        <r>
          <rPr>
            <b/>
            <sz val="8"/>
            <color indexed="81"/>
            <rFont val="Tahoma"/>
            <family val="2"/>
            <charset val="238"/>
          </rPr>
          <t>VLOŽ JEDNOTKOVOU CENU ZHOTOVITELE ZA POLOŽKU</t>
        </r>
        <r>
          <rPr>
            <sz val="8"/>
            <color indexed="81"/>
            <rFont val="Tahoma"/>
            <family val="2"/>
            <charset val="238"/>
          </rPr>
          <t xml:space="preserve">
</t>
        </r>
      </text>
    </comment>
    <comment ref="G46" authorId="0" shapeId="0" xr:uid="{BDE38FDF-468A-461F-BCE8-FD8FCBBA8367}">
      <text>
        <r>
          <rPr>
            <b/>
            <sz val="8"/>
            <color indexed="81"/>
            <rFont val="Tahoma"/>
            <family val="2"/>
            <charset val="238"/>
          </rPr>
          <t>VLOŽ JEDNOTKOVOU CENU ZHOTOVITELE ZA POLOŽKU</t>
        </r>
        <r>
          <rPr>
            <sz val="8"/>
            <color indexed="81"/>
            <rFont val="Tahoma"/>
            <family val="2"/>
            <charset val="238"/>
          </rPr>
          <t xml:space="preserve">
</t>
        </r>
      </text>
    </comment>
    <comment ref="G48" authorId="0" shapeId="0" xr:uid="{68D83C7D-0C64-4A2A-91E7-953C59776C5E}">
      <text>
        <r>
          <rPr>
            <b/>
            <sz val="8"/>
            <color indexed="81"/>
            <rFont val="Tahoma"/>
            <family val="2"/>
            <charset val="238"/>
          </rPr>
          <t>VLOŽ JEDNOTKOVOU CENU ZHOTOVITELE ZA POLOŽKU</t>
        </r>
        <r>
          <rPr>
            <sz val="8"/>
            <color indexed="81"/>
            <rFont val="Tahoma"/>
            <family val="2"/>
            <charset val="238"/>
          </rPr>
          <t xml:space="preserve">
</t>
        </r>
      </text>
    </comment>
    <comment ref="G50" authorId="0" shapeId="0" xr:uid="{A62DED9D-6441-4829-A0A2-CB9E1EC0FD74}">
      <text>
        <r>
          <rPr>
            <b/>
            <sz val="8"/>
            <color indexed="81"/>
            <rFont val="Tahoma"/>
            <family val="2"/>
            <charset val="238"/>
          </rPr>
          <t>VLOŽ JEDNOTKOVOU CENU ZHOTOVITELE ZA POLOŽKU</t>
        </r>
        <r>
          <rPr>
            <sz val="8"/>
            <color indexed="81"/>
            <rFont val="Tahoma"/>
            <family val="2"/>
            <charset val="238"/>
          </rPr>
          <t xml:space="preserve">
</t>
        </r>
      </text>
    </comment>
    <comment ref="G53" authorId="0" shapeId="0" xr:uid="{4653520B-97ED-43EB-B11A-E33798D79098}">
      <text>
        <r>
          <rPr>
            <b/>
            <sz val="8"/>
            <color indexed="81"/>
            <rFont val="Tahoma"/>
            <family val="2"/>
            <charset val="238"/>
          </rPr>
          <t>VLOŽ JEDNOTKOVOU CENU ZHOTOVITELE ZA POLOŽKU</t>
        </r>
        <r>
          <rPr>
            <sz val="8"/>
            <color indexed="81"/>
            <rFont val="Tahoma"/>
            <family val="2"/>
            <charset val="238"/>
          </rPr>
          <t xml:space="preserve">
</t>
        </r>
      </text>
    </comment>
    <comment ref="G55" authorId="0" shapeId="0" xr:uid="{9E70BD7E-96A9-4ADE-A241-B324EEB34B06}">
      <text>
        <r>
          <rPr>
            <b/>
            <sz val="8"/>
            <color indexed="81"/>
            <rFont val="Tahoma"/>
            <family val="2"/>
            <charset val="238"/>
          </rPr>
          <t>VLOŽ JEDNOTKOVOU CENU ZHOTOVITELE ZA POLOŽKU</t>
        </r>
        <r>
          <rPr>
            <sz val="8"/>
            <color indexed="81"/>
            <rFont val="Tahoma"/>
            <family val="2"/>
            <charset val="238"/>
          </rPr>
          <t xml:space="preserve">
</t>
        </r>
      </text>
    </comment>
    <comment ref="G58" authorId="0" shapeId="0" xr:uid="{8A6B931A-C6DA-4078-8F38-039FCB5BF6A7}">
      <text>
        <r>
          <rPr>
            <b/>
            <sz val="8"/>
            <color indexed="81"/>
            <rFont val="Tahoma"/>
            <family val="2"/>
            <charset val="238"/>
          </rPr>
          <t>VLOŽ JEDNOTKOVOU CENU ZHOTOVITELE ZA POLOŽKU</t>
        </r>
        <r>
          <rPr>
            <sz val="8"/>
            <color indexed="81"/>
            <rFont val="Tahoma"/>
            <family val="2"/>
            <charset val="238"/>
          </rPr>
          <t xml:space="preserve">
</t>
        </r>
      </text>
    </comment>
    <comment ref="G60" authorId="0" shapeId="0" xr:uid="{8C9BB940-956C-443E-A6F4-BA02EA441F55}">
      <text>
        <r>
          <rPr>
            <b/>
            <sz val="8"/>
            <color indexed="81"/>
            <rFont val="Tahoma"/>
            <family val="2"/>
            <charset val="238"/>
          </rPr>
          <t>VLOŽ JEDNOTKOVOU CENU ZHOTOVITELE ZA POLOŽKU</t>
        </r>
        <r>
          <rPr>
            <sz val="8"/>
            <color indexed="81"/>
            <rFont val="Tahoma"/>
            <family val="2"/>
            <charset val="238"/>
          </rPr>
          <t xml:space="preserve">
</t>
        </r>
      </text>
    </comment>
    <comment ref="G62" authorId="0" shapeId="0" xr:uid="{900F9F18-F748-4311-B5E7-6A677A3E855B}">
      <text>
        <r>
          <rPr>
            <b/>
            <sz val="8"/>
            <color indexed="81"/>
            <rFont val="Tahoma"/>
            <family val="2"/>
            <charset val="238"/>
          </rPr>
          <t>VLOŽ JEDNOTKOVOU CENU ZHOTOVITELE ZA POLOŽKU</t>
        </r>
        <r>
          <rPr>
            <sz val="8"/>
            <color indexed="81"/>
            <rFont val="Tahoma"/>
            <family val="2"/>
            <charset val="238"/>
          </rPr>
          <t xml:space="preserve">
</t>
        </r>
      </text>
    </comment>
    <comment ref="G64" authorId="0" shapeId="0" xr:uid="{B13CC264-7DFE-45FE-90D4-C89B2295B7E9}">
      <text>
        <r>
          <rPr>
            <b/>
            <sz val="8"/>
            <color indexed="81"/>
            <rFont val="Tahoma"/>
            <family val="2"/>
            <charset val="238"/>
          </rPr>
          <t>VLOŽ JEDNOTKOVOU CENU ZHOTOVITELE ZA POLOŽKU</t>
        </r>
        <r>
          <rPr>
            <sz val="8"/>
            <color indexed="81"/>
            <rFont val="Tahoma"/>
            <family val="2"/>
            <charset val="238"/>
          </rPr>
          <t xml:space="preserve">
</t>
        </r>
      </text>
    </comment>
    <comment ref="G66" authorId="0" shapeId="0" xr:uid="{587DD3D6-A73B-4C27-976B-8E303FC6B5A1}">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29AEE7A5-75BD-4F85-8FE2-412B55F6F56F}">
      <text>
        <r>
          <rPr>
            <b/>
            <sz val="8"/>
            <color indexed="81"/>
            <rFont val="Tahoma"/>
            <family val="2"/>
            <charset val="238"/>
          </rPr>
          <t>VLOŽ JEDNOTKOVOU CENU ZHOTOVITELE ZA POLOŽKU</t>
        </r>
        <r>
          <rPr>
            <sz val="8"/>
            <color indexed="81"/>
            <rFont val="Tahoma"/>
            <family val="2"/>
            <charset val="238"/>
          </rPr>
          <t xml:space="preserve">
</t>
        </r>
      </text>
    </comment>
    <comment ref="G70" authorId="0" shapeId="0" xr:uid="{A54A8E3C-A367-44E7-B178-96447E936C28}">
      <text>
        <r>
          <rPr>
            <b/>
            <sz val="8"/>
            <color indexed="81"/>
            <rFont val="Tahoma"/>
            <family val="2"/>
            <charset val="238"/>
          </rPr>
          <t>VLOŽ JEDNOTKOVOU CENU ZHOTOVITELE ZA POLOŽKU</t>
        </r>
        <r>
          <rPr>
            <sz val="8"/>
            <color indexed="81"/>
            <rFont val="Tahoma"/>
            <family val="2"/>
            <charset val="238"/>
          </rPr>
          <t xml:space="preserve">
</t>
        </r>
      </text>
    </comment>
    <comment ref="G72" authorId="0" shapeId="0" xr:uid="{A3571ADE-39B7-4516-B0B1-73E89139325C}">
      <text>
        <r>
          <rPr>
            <b/>
            <sz val="8"/>
            <color indexed="81"/>
            <rFont val="Tahoma"/>
            <family val="2"/>
            <charset val="238"/>
          </rPr>
          <t>VLOŽ JEDNOTKOVOU CENU ZHOTOVITELE ZA POLOŽKU</t>
        </r>
        <r>
          <rPr>
            <sz val="8"/>
            <color indexed="81"/>
            <rFont val="Tahoma"/>
            <family val="2"/>
            <charset val="238"/>
          </rPr>
          <t xml:space="preserve">
</t>
        </r>
      </text>
    </comment>
    <comment ref="G75" authorId="0" shapeId="0" xr:uid="{F1451AB5-4157-4F2F-B931-23725D1A13A3}">
      <text>
        <r>
          <rPr>
            <b/>
            <sz val="8"/>
            <color indexed="81"/>
            <rFont val="Tahoma"/>
            <family val="2"/>
            <charset val="238"/>
          </rPr>
          <t>VLOŽ JEDNOTKOVOU CENU ZHOTOVITELE ZA POLOŽKU</t>
        </r>
        <r>
          <rPr>
            <sz val="8"/>
            <color indexed="81"/>
            <rFont val="Tahoma"/>
            <family val="2"/>
            <charset val="238"/>
          </rPr>
          <t xml:space="preserve">
</t>
        </r>
      </text>
    </comment>
    <comment ref="G77" authorId="0" shapeId="0" xr:uid="{1399AB93-7892-4E0C-A3C2-F063CE7587C5}">
      <text>
        <r>
          <rPr>
            <b/>
            <sz val="8"/>
            <color indexed="81"/>
            <rFont val="Tahoma"/>
            <family val="2"/>
            <charset val="238"/>
          </rPr>
          <t>VLOŽ JEDNOTKOVOU CENU ZHOTOVITELE ZA POLOŽKU</t>
        </r>
        <r>
          <rPr>
            <sz val="8"/>
            <color indexed="81"/>
            <rFont val="Tahoma"/>
            <family val="2"/>
            <charset val="238"/>
          </rPr>
          <t xml:space="preserve">
</t>
        </r>
      </text>
    </comment>
    <comment ref="G78" authorId="0" shapeId="0" xr:uid="{5F160411-2F57-4A64-865F-A9E383FE3A97}">
      <text>
        <r>
          <rPr>
            <b/>
            <sz val="8"/>
            <color indexed="81"/>
            <rFont val="Tahoma"/>
            <family val="2"/>
            <charset val="238"/>
          </rPr>
          <t>VLOŽ JEDNOTKOVOU CENU ZHOTOVITELE ZA POLOŽKU</t>
        </r>
        <r>
          <rPr>
            <sz val="8"/>
            <color indexed="81"/>
            <rFont val="Tahoma"/>
            <family val="2"/>
            <charset val="238"/>
          </rPr>
          <t xml:space="preserve">
</t>
        </r>
      </text>
    </comment>
    <comment ref="G81" authorId="0" shapeId="0" xr:uid="{4BE77613-CEBE-48B6-A6E1-05A0963E9EBE}">
      <text>
        <r>
          <rPr>
            <b/>
            <sz val="8"/>
            <color indexed="81"/>
            <rFont val="Tahoma"/>
            <family val="2"/>
            <charset val="238"/>
          </rPr>
          <t>VLOŽ JEDNOTKOVOU CENU ZHOTOVITELE ZA POLOŽKU</t>
        </r>
        <r>
          <rPr>
            <sz val="8"/>
            <color indexed="81"/>
            <rFont val="Tahoma"/>
            <family val="2"/>
            <charset val="238"/>
          </rPr>
          <t xml:space="preserve">
</t>
        </r>
      </text>
    </comment>
    <comment ref="G84" authorId="0" shapeId="0" xr:uid="{20081066-AB91-40B9-B6FE-93A0ED455382}">
      <text>
        <r>
          <rPr>
            <b/>
            <sz val="8"/>
            <color indexed="81"/>
            <rFont val="Tahoma"/>
            <family val="2"/>
            <charset val="238"/>
          </rPr>
          <t>VLOŽ JEDNOTKOVOU CENU ZHOTOVITELE ZA POLOŽKU</t>
        </r>
        <r>
          <rPr>
            <sz val="8"/>
            <color indexed="81"/>
            <rFont val="Tahoma"/>
            <family val="2"/>
            <charset val="238"/>
          </rPr>
          <t xml:space="preserve">
</t>
        </r>
      </text>
    </comment>
    <comment ref="G86" authorId="0" shapeId="0" xr:uid="{48BD4E78-2BE6-4E89-ADA4-28B57669C7F7}">
      <text>
        <r>
          <rPr>
            <b/>
            <sz val="8"/>
            <color indexed="81"/>
            <rFont val="Tahoma"/>
            <family val="2"/>
            <charset val="238"/>
          </rPr>
          <t>VLOŽ JEDNOTKOVOU CENU ZHOTOVITELE ZA POLOŽKU</t>
        </r>
        <r>
          <rPr>
            <sz val="8"/>
            <color indexed="81"/>
            <rFont val="Tahoma"/>
            <family val="2"/>
            <charset val="238"/>
          </rPr>
          <t xml:space="preserve">
</t>
        </r>
      </text>
    </comment>
    <comment ref="G89" authorId="0" shapeId="0" xr:uid="{B635BF70-466B-4DAA-A87A-57AD7B688B94}">
      <text>
        <r>
          <rPr>
            <b/>
            <sz val="8"/>
            <color indexed="81"/>
            <rFont val="Tahoma"/>
            <family val="2"/>
            <charset val="238"/>
          </rPr>
          <t>VLOŽ JEDNOTKOVOU CENU ZHOTOVITELE ZA POLOŽKU</t>
        </r>
        <r>
          <rPr>
            <sz val="8"/>
            <color indexed="81"/>
            <rFont val="Tahoma"/>
            <family val="2"/>
            <charset val="238"/>
          </rPr>
          <t xml:space="preserve">
</t>
        </r>
      </text>
    </comment>
    <comment ref="G91" authorId="0" shapeId="0" xr:uid="{AE5C840C-A443-45F4-92A0-914F3C59A41B}">
      <text>
        <r>
          <rPr>
            <b/>
            <sz val="8"/>
            <color indexed="81"/>
            <rFont val="Tahoma"/>
            <family val="2"/>
            <charset val="238"/>
          </rPr>
          <t>VLOŽ JEDNOTKOVOU CENU ZHOTOVITELE ZA POLOŽKU</t>
        </r>
        <r>
          <rPr>
            <sz val="8"/>
            <color indexed="81"/>
            <rFont val="Tahoma"/>
            <family val="2"/>
            <charset val="238"/>
          </rPr>
          <t xml:space="preserve">
</t>
        </r>
      </text>
    </comment>
    <comment ref="G94" authorId="0" shapeId="0" xr:uid="{40B14447-9F4A-4A2A-86E7-1BB5683422D8}">
      <text>
        <r>
          <rPr>
            <b/>
            <sz val="8"/>
            <color indexed="81"/>
            <rFont val="Tahoma"/>
            <family val="2"/>
            <charset val="238"/>
          </rPr>
          <t>VLOŽ JEDNOTKOVOU CENU ZHOTOVITELE ZA POLOŽKU</t>
        </r>
        <r>
          <rPr>
            <sz val="8"/>
            <color indexed="81"/>
            <rFont val="Tahoma"/>
            <family val="2"/>
            <charset val="238"/>
          </rPr>
          <t xml:space="preserve">
</t>
        </r>
      </text>
    </comment>
    <comment ref="G96" authorId="0" shapeId="0" xr:uid="{783B0D44-C9B8-4EC0-B108-3EDC9F3022EC}">
      <text>
        <r>
          <rPr>
            <b/>
            <sz val="8"/>
            <color indexed="81"/>
            <rFont val="Tahoma"/>
            <family val="2"/>
            <charset val="238"/>
          </rPr>
          <t>VLOŽ JEDNOTKOVOU CENU ZHOTOVITELE ZA POLOŽKU</t>
        </r>
        <r>
          <rPr>
            <sz val="8"/>
            <color indexed="81"/>
            <rFont val="Tahoma"/>
            <family val="2"/>
            <charset val="238"/>
          </rPr>
          <t xml:space="preserve">
</t>
        </r>
      </text>
    </comment>
    <comment ref="G99" authorId="0" shapeId="0" xr:uid="{B323E310-DF6F-4427-811A-A37C1ED7BAA4}">
      <text>
        <r>
          <rPr>
            <b/>
            <sz val="8"/>
            <color indexed="81"/>
            <rFont val="Tahoma"/>
            <family val="2"/>
            <charset val="238"/>
          </rPr>
          <t>VLOŽ JEDNOTKOVOU CENU ZHOTOVITELE ZA POLOŽKU</t>
        </r>
        <r>
          <rPr>
            <sz val="8"/>
            <color indexed="81"/>
            <rFont val="Tahoma"/>
            <family val="2"/>
            <charset val="238"/>
          </rPr>
          <t xml:space="preserve">
</t>
        </r>
      </text>
    </comment>
    <comment ref="G102" authorId="0" shapeId="0" xr:uid="{6AEA6EDF-D834-4A4D-A87D-650482812C16}">
      <text>
        <r>
          <rPr>
            <b/>
            <sz val="8"/>
            <color indexed="81"/>
            <rFont val="Tahoma"/>
            <family val="2"/>
            <charset val="238"/>
          </rPr>
          <t>VLOŽ JEDNOTKOVOU CENU ZHOTOVITELE ZA POLOŽKU</t>
        </r>
        <r>
          <rPr>
            <sz val="8"/>
            <color indexed="81"/>
            <rFont val="Tahoma"/>
            <family val="2"/>
            <charset val="238"/>
          </rPr>
          <t xml:space="preserve">
</t>
        </r>
      </text>
    </comment>
    <comment ref="G104" authorId="0" shapeId="0" xr:uid="{F257E672-6BBA-4CC1-9345-43BED0727F3D}">
      <text>
        <r>
          <rPr>
            <b/>
            <sz val="8"/>
            <color indexed="81"/>
            <rFont val="Tahoma"/>
            <family val="2"/>
            <charset val="238"/>
          </rPr>
          <t>VLOŽ JEDNOTKOVOU CENU ZHOTOVITELE ZA POLOŽKU</t>
        </r>
        <r>
          <rPr>
            <sz val="8"/>
            <color indexed="81"/>
            <rFont val="Tahoma"/>
            <family val="2"/>
            <charset val="238"/>
          </rPr>
          <t xml:space="preserve">
</t>
        </r>
      </text>
    </comment>
    <comment ref="G106" authorId="0" shapeId="0" xr:uid="{D789D21B-2DA5-4576-AECC-3CA23C0ED4F9}">
      <text>
        <r>
          <rPr>
            <b/>
            <sz val="8"/>
            <color indexed="81"/>
            <rFont val="Tahoma"/>
            <family val="2"/>
            <charset val="238"/>
          </rPr>
          <t>VLOŽ JEDNOTKOVOU CENU ZHOTOVITELE ZA POLOŽKU</t>
        </r>
        <r>
          <rPr>
            <sz val="8"/>
            <color indexed="81"/>
            <rFont val="Tahoma"/>
            <family val="2"/>
            <charset val="238"/>
          </rPr>
          <t xml:space="preserve">
</t>
        </r>
      </text>
    </comment>
    <comment ref="G108" authorId="0" shapeId="0" xr:uid="{59780FBD-370A-4D08-9112-1DD36040A914}">
      <text>
        <r>
          <rPr>
            <b/>
            <sz val="8"/>
            <color indexed="81"/>
            <rFont val="Tahoma"/>
            <family val="2"/>
            <charset val="238"/>
          </rPr>
          <t>VLOŽ JEDNOTKOVOU CENU ZHOTOVITELE ZA POLOŽKU</t>
        </r>
        <r>
          <rPr>
            <sz val="8"/>
            <color indexed="81"/>
            <rFont val="Tahoma"/>
            <family val="2"/>
            <charset val="238"/>
          </rPr>
          <t xml:space="preserve">
</t>
        </r>
      </text>
    </comment>
    <comment ref="G110" authorId="0" shapeId="0" xr:uid="{09E2B7B6-D039-4C1E-B24E-2B715CCDAEEC}">
      <text>
        <r>
          <rPr>
            <b/>
            <sz val="8"/>
            <color indexed="81"/>
            <rFont val="Tahoma"/>
            <family val="2"/>
            <charset val="238"/>
          </rPr>
          <t>VLOŽ JEDNOTKOVOU CENU ZHOTOVITELE ZA POLOŽKU</t>
        </r>
        <r>
          <rPr>
            <sz val="8"/>
            <color indexed="81"/>
            <rFont val="Tahoma"/>
            <family val="2"/>
            <charset val="238"/>
          </rPr>
          <t xml:space="preserve">
</t>
        </r>
      </text>
    </comment>
    <comment ref="G112" authorId="0" shapeId="0" xr:uid="{BCE07231-1A15-4228-96AF-3DA247025C6D}">
      <text>
        <r>
          <rPr>
            <b/>
            <sz val="8"/>
            <color indexed="81"/>
            <rFont val="Tahoma"/>
            <family val="2"/>
            <charset val="238"/>
          </rPr>
          <t>VLOŽ JEDNOTKOVOU CENU ZHOTOVITELE ZA POLOŽKU</t>
        </r>
        <r>
          <rPr>
            <sz val="8"/>
            <color indexed="81"/>
            <rFont val="Tahoma"/>
            <family val="2"/>
            <charset val="238"/>
          </rPr>
          <t xml:space="preserve">
</t>
        </r>
      </text>
    </comment>
    <comment ref="G114" authorId="0" shapeId="0" xr:uid="{90E7B61F-D22A-4A84-A59F-DE313931E013}">
      <text>
        <r>
          <rPr>
            <b/>
            <sz val="8"/>
            <color indexed="81"/>
            <rFont val="Tahoma"/>
            <family val="2"/>
            <charset val="238"/>
          </rPr>
          <t>VLOŽ JEDNOTKOVOU CENU ZHOTOVITELE ZA POLOŽKU</t>
        </r>
        <r>
          <rPr>
            <sz val="8"/>
            <color indexed="81"/>
            <rFont val="Tahoma"/>
            <family val="2"/>
            <charset val="238"/>
          </rPr>
          <t xml:space="preserve">
</t>
        </r>
      </text>
    </comment>
    <comment ref="G116" authorId="0" shapeId="0" xr:uid="{448ECB55-0A25-4676-9C1D-E63CBAB22E8E}">
      <text>
        <r>
          <rPr>
            <b/>
            <sz val="8"/>
            <color indexed="81"/>
            <rFont val="Tahoma"/>
            <family val="2"/>
            <charset val="238"/>
          </rPr>
          <t>VLOŽ JEDNOTKOVOU CENU ZHOTOVITELE ZA POLOŽKU</t>
        </r>
        <r>
          <rPr>
            <sz val="8"/>
            <color indexed="81"/>
            <rFont val="Tahoma"/>
            <family val="2"/>
            <charset val="238"/>
          </rPr>
          <t xml:space="preserve">
</t>
        </r>
      </text>
    </comment>
    <comment ref="G118" authorId="0" shapeId="0" xr:uid="{3D8E26EC-8BEE-4E3A-A3DC-7F3B358BF529}">
      <text>
        <r>
          <rPr>
            <b/>
            <sz val="8"/>
            <color indexed="81"/>
            <rFont val="Tahoma"/>
            <family val="2"/>
            <charset val="238"/>
          </rPr>
          <t>VLOŽ JEDNOTKOVOU CENU ZHOTOVITELE ZA POLOŽKU</t>
        </r>
        <r>
          <rPr>
            <sz val="8"/>
            <color indexed="81"/>
            <rFont val="Tahoma"/>
            <family val="2"/>
            <charset val="238"/>
          </rPr>
          <t xml:space="preserve">
</t>
        </r>
      </text>
    </comment>
    <comment ref="G121" authorId="0" shapeId="0" xr:uid="{0820A778-8D4A-4E8C-B1D6-564E8A91968E}">
      <text>
        <r>
          <rPr>
            <b/>
            <sz val="8"/>
            <color indexed="81"/>
            <rFont val="Tahoma"/>
            <family val="2"/>
            <charset val="238"/>
          </rPr>
          <t>VLOŽ JEDNOTKOVOU CENU ZHOTOVITELE ZA POLOŽKU</t>
        </r>
        <r>
          <rPr>
            <sz val="8"/>
            <color indexed="81"/>
            <rFont val="Tahoma"/>
            <family val="2"/>
            <charset val="238"/>
          </rPr>
          <t xml:space="preserve">
</t>
        </r>
      </text>
    </comment>
    <comment ref="G123" authorId="0" shapeId="0" xr:uid="{A33EF4C3-F26D-4A5E-B914-FA74EE09DD11}">
      <text>
        <r>
          <rPr>
            <b/>
            <sz val="8"/>
            <color indexed="81"/>
            <rFont val="Tahoma"/>
            <family val="2"/>
            <charset val="238"/>
          </rPr>
          <t>VLOŽ JEDNOTKOVOU CENU ZHOTOVITELE ZA POLOŽKU</t>
        </r>
        <r>
          <rPr>
            <sz val="8"/>
            <color indexed="81"/>
            <rFont val="Tahoma"/>
            <family val="2"/>
            <charset val="238"/>
          </rPr>
          <t xml:space="preserve">
</t>
        </r>
      </text>
    </comment>
    <comment ref="G125" authorId="0" shapeId="0" xr:uid="{543302CA-270A-47F8-B83B-04AE40847886}">
      <text>
        <r>
          <rPr>
            <b/>
            <sz val="8"/>
            <color indexed="81"/>
            <rFont val="Tahoma"/>
            <family val="2"/>
            <charset val="238"/>
          </rPr>
          <t>VLOŽ JEDNOTKOVOU CENU ZHOTOVITELE ZA POLOŽKU</t>
        </r>
        <r>
          <rPr>
            <sz val="8"/>
            <color indexed="81"/>
            <rFont val="Tahoma"/>
            <family val="2"/>
            <charset val="238"/>
          </rPr>
          <t xml:space="preserve">
</t>
        </r>
      </text>
    </comment>
    <comment ref="G127" authorId="0" shapeId="0" xr:uid="{1CCCD27B-383A-4CA1-A641-4DAB361B6400}">
      <text>
        <r>
          <rPr>
            <b/>
            <sz val="8"/>
            <color indexed="81"/>
            <rFont val="Tahoma"/>
            <family val="2"/>
            <charset val="238"/>
          </rPr>
          <t>VLOŽ JEDNOTKOVOU CENU ZHOTOVITELE ZA POLOŽKU</t>
        </r>
        <r>
          <rPr>
            <sz val="8"/>
            <color indexed="81"/>
            <rFont val="Tahoma"/>
            <family val="2"/>
            <charset val="238"/>
          </rPr>
          <t xml:space="preserve">
</t>
        </r>
      </text>
    </comment>
    <comment ref="G129" authorId="0" shapeId="0" xr:uid="{E20D21F9-0C19-46C7-8EB0-8F16642C2AB1}">
      <text>
        <r>
          <rPr>
            <b/>
            <sz val="8"/>
            <color indexed="81"/>
            <rFont val="Tahoma"/>
            <family val="2"/>
            <charset val="238"/>
          </rPr>
          <t>VLOŽ JEDNOTKOVOU CENU ZHOTOVITELE ZA POLOŽKU</t>
        </r>
        <r>
          <rPr>
            <sz val="8"/>
            <color indexed="81"/>
            <rFont val="Tahoma"/>
            <family val="2"/>
            <charset val="238"/>
          </rPr>
          <t xml:space="preserve">
</t>
        </r>
      </text>
    </comment>
    <comment ref="G132" authorId="0" shapeId="0" xr:uid="{27117D03-8685-4FDE-9A2C-EB145DD6115B}">
      <text>
        <r>
          <rPr>
            <b/>
            <sz val="8"/>
            <color indexed="81"/>
            <rFont val="Tahoma"/>
            <family val="2"/>
            <charset val="238"/>
          </rPr>
          <t>VLOŽ JEDNOTKOVOU CENU ZHOTOVITELE ZA POLOŽKU</t>
        </r>
        <r>
          <rPr>
            <sz val="8"/>
            <color indexed="81"/>
            <rFont val="Tahoma"/>
            <family val="2"/>
            <charset val="238"/>
          </rPr>
          <t xml:space="preserve">
</t>
        </r>
      </text>
    </comment>
    <comment ref="G134" authorId="0" shapeId="0" xr:uid="{0A5A2412-F43D-4DAA-B074-30EF21B8ED0F}">
      <text>
        <r>
          <rPr>
            <b/>
            <sz val="8"/>
            <color indexed="81"/>
            <rFont val="Tahoma"/>
            <family val="2"/>
            <charset val="238"/>
          </rPr>
          <t>VLOŽ JEDNOTKOVOU CENU ZHOTOVITELE ZA POLOŽKU</t>
        </r>
        <r>
          <rPr>
            <sz val="8"/>
            <color indexed="81"/>
            <rFont val="Tahoma"/>
            <family val="2"/>
            <charset val="238"/>
          </rPr>
          <t xml:space="preserve">
</t>
        </r>
      </text>
    </comment>
    <comment ref="G136" authorId="0" shapeId="0" xr:uid="{8749AB27-98B4-4FEE-A213-9C14F4372F94}">
      <text>
        <r>
          <rPr>
            <b/>
            <sz val="8"/>
            <color indexed="81"/>
            <rFont val="Tahoma"/>
            <family val="2"/>
            <charset val="238"/>
          </rPr>
          <t>VLOŽ JEDNOTKOVOU CENU ZHOTOVITELE ZA POLOŽKU</t>
        </r>
        <r>
          <rPr>
            <sz val="8"/>
            <color indexed="81"/>
            <rFont val="Tahoma"/>
            <family val="2"/>
            <charset val="238"/>
          </rPr>
          <t xml:space="preserve">
</t>
        </r>
      </text>
    </comment>
    <comment ref="G138" authorId="0" shapeId="0" xr:uid="{5BF40E79-A55C-4EAE-86D8-F2E204DC471B}">
      <text>
        <r>
          <rPr>
            <b/>
            <sz val="8"/>
            <color indexed="81"/>
            <rFont val="Tahoma"/>
            <family val="2"/>
            <charset val="238"/>
          </rPr>
          <t>VLOŽ JEDNOTKOVOU CENU ZHOTOVITELE ZA POLOŽKU</t>
        </r>
        <r>
          <rPr>
            <sz val="8"/>
            <color indexed="81"/>
            <rFont val="Tahoma"/>
            <family val="2"/>
            <charset val="238"/>
          </rPr>
          <t xml:space="preserve">
</t>
        </r>
      </text>
    </comment>
    <comment ref="G141" authorId="0" shapeId="0" xr:uid="{B9B17FF8-69C7-4979-AD2F-1D30B9EB94D9}">
      <text>
        <r>
          <rPr>
            <b/>
            <sz val="8"/>
            <color indexed="81"/>
            <rFont val="Tahoma"/>
            <family val="2"/>
            <charset val="238"/>
          </rPr>
          <t>VLOŽ JEDNOTKOVOU CENU ZHOTOVITELE ZA POLOŽKU</t>
        </r>
        <r>
          <rPr>
            <sz val="8"/>
            <color indexed="81"/>
            <rFont val="Tahoma"/>
            <family val="2"/>
            <charset val="238"/>
          </rPr>
          <t xml:space="preserve">
</t>
        </r>
      </text>
    </comment>
    <comment ref="G143" authorId="0" shapeId="0" xr:uid="{EDCBD4F9-6B04-43C7-AB64-A855AC453DF7}">
      <text>
        <r>
          <rPr>
            <b/>
            <sz val="8"/>
            <color indexed="81"/>
            <rFont val="Tahoma"/>
            <family val="2"/>
            <charset val="238"/>
          </rPr>
          <t>VLOŽ JEDNOTKOVOU CENU ZHOTOVITELE ZA POLOŽKU</t>
        </r>
        <r>
          <rPr>
            <sz val="8"/>
            <color indexed="81"/>
            <rFont val="Tahoma"/>
            <family val="2"/>
            <charset val="238"/>
          </rPr>
          <t xml:space="preserve">
</t>
        </r>
      </text>
    </comment>
    <comment ref="G145" authorId="0" shapeId="0" xr:uid="{4C13CF95-A9F5-4FFB-9A7F-CD69A1B3E3D1}">
      <text>
        <r>
          <rPr>
            <b/>
            <sz val="8"/>
            <color indexed="81"/>
            <rFont val="Tahoma"/>
            <family val="2"/>
            <charset val="238"/>
          </rPr>
          <t>VLOŽ JEDNOTKOVOU CENU ZHOTOVITELE ZA POLOŽKU</t>
        </r>
        <r>
          <rPr>
            <sz val="8"/>
            <color indexed="81"/>
            <rFont val="Tahoma"/>
            <family val="2"/>
            <charset val="238"/>
          </rPr>
          <t xml:space="preserve">
</t>
        </r>
      </text>
    </comment>
    <comment ref="G147" authorId="0" shapeId="0" xr:uid="{EF5B1AE4-54D2-48F7-9838-02332C3B6B40}">
      <text>
        <r>
          <rPr>
            <b/>
            <sz val="8"/>
            <color indexed="81"/>
            <rFont val="Tahoma"/>
            <family val="2"/>
            <charset val="238"/>
          </rPr>
          <t>VLOŽ JEDNOTKOVOU CENU ZHOTOVITELE ZA POLOŽKU</t>
        </r>
        <r>
          <rPr>
            <sz val="8"/>
            <color indexed="81"/>
            <rFont val="Tahoma"/>
            <family val="2"/>
            <charset val="238"/>
          </rPr>
          <t xml:space="preserve">
</t>
        </r>
      </text>
    </comment>
    <comment ref="G149" authorId="0" shapeId="0" xr:uid="{D24387F5-1961-42EA-811D-BA30784BCEE2}">
      <text>
        <r>
          <rPr>
            <b/>
            <sz val="8"/>
            <color indexed="81"/>
            <rFont val="Tahoma"/>
            <family val="2"/>
            <charset val="238"/>
          </rPr>
          <t>VLOŽ JEDNOTKOVOU CENU ZHOTOVITELE ZA POLOŽKU</t>
        </r>
        <r>
          <rPr>
            <sz val="8"/>
            <color indexed="81"/>
            <rFont val="Tahoma"/>
            <family val="2"/>
            <charset val="238"/>
          </rPr>
          <t xml:space="preserve">
</t>
        </r>
      </text>
    </comment>
    <comment ref="G151" authorId="0" shapeId="0" xr:uid="{00DA3BC2-B52B-4355-919C-067A1CE227B4}">
      <text>
        <r>
          <rPr>
            <b/>
            <sz val="8"/>
            <color indexed="81"/>
            <rFont val="Tahoma"/>
            <family val="2"/>
            <charset val="238"/>
          </rPr>
          <t>VLOŽ JEDNOTKOVOU CENU ZHOTOVITELE ZA POLOŽKU</t>
        </r>
        <r>
          <rPr>
            <sz val="8"/>
            <color indexed="81"/>
            <rFont val="Tahoma"/>
            <family val="2"/>
            <charset val="238"/>
          </rPr>
          <t xml:space="preserve">
</t>
        </r>
      </text>
    </comment>
    <comment ref="G153" authorId="0" shapeId="0" xr:uid="{43EF83AF-96D8-4A33-9725-8450CBB33346}">
      <text>
        <r>
          <rPr>
            <b/>
            <sz val="8"/>
            <color indexed="81"/>
            <rFont val="Tahoma"/>
            <family val="2"/>
            <charset val="238"/>
          </rPr>
          <t>VLOŽ JEDNOTKOVOU CENU ZHOTOVITELE ZA POLOŽKU</t>
        </r>
        <r>
          <rPr>
            <sz val="8"/>
            <color indexed="81"/>
            <rFont val="Tahoma"/>
            <family val="2"/>
            <charset val="238"/>
          </rPr>
          <t xml:space="preserve">
</t>
        </r>
      </text>
    </comment>
    <comment ref="G155" authorId="0" shapeId="0" xr:uid="{ED4F9518-DF0F-46EC-A806-C721C76D4478}">
      <text>
        <r>
          <rPr>
            <b/>
            <sz val="8"/>
            <color indexed="81"/>
            <rFont val="Tahoma"/>
            <family val="2"/>
            <charset val="238"/>
          </rPr>
          <t>VLOŽ JEDNOTKOVOU CENU ZHOTOVITELE ZA POLOŽKU</t>
        </r>
        <r>
          <rPr>
            <sz val="8"/>
            <color indexed="81"/>
            <rFont val="Tahoma"/>
            <family val="2"/>
            <charset val="238"/>
          </rPr>
          <t xml:space="preserve">
</t>
        </r>
      </text>
    </comment>
    <comment ref="G158" authorId="0" shapeId="0" xr:uid="{52664D97-551F-4F20-9A00-218125BD5E47}">
      <text>
        <r>
          <rPr>
            <b/>
            <sz val="8"/>
            <color indexed="81"/>
            <rFont val="Tahoma"/>
            <family val="2"/>
            <charset val="238"/>
          </rPr>
          <t>VLOŽ JEDNOTKOVOU CENU ZHOTOVITELE ZA POLOŽKU</t>
        </r>
        <r>
          <rPr>
            <sz val="8"/>
            <color indexed="81"/>
            <rFont val="Tahoma"/>
            <family val="2"/>
            <charset val="238"/>
          </rPr>
          <t xml:space="preserve">
</t>
        </r>
      </text>
    </comment>
    <comment ref="G159" authorId="0" shapeId="0" xr:uid="{C45B8EF7-5ED4-4874-BF72-AE50D63D5FA8}">
      <text>
        <r>
          <rPr>
            <b/>
            <sz val="8"/>
            <color indexed="81"/>
            <rFont val="Tahoma"/>
            <family val="2"/>
            <charset val="238"/>
          </rPr>
          <t>VLOŽ JEDNOTKOVOU CENU ZHOTOVITELE ZA POLOŽKU</t>
        </r>
        <r>
          <rPr>
            <sz val="8"/>
            <color indexed="81"/>
            <rFont val="Tahoma"/>
            <family val="2"/>
            <charset val="238"/>
          </rPr>
          <t xml:space="preserve">
</t>
        </r>
      </text>
    </comment>
    <comment ref="G161" authorId="0" shapeId="0" xr:uid="{B3F085F4-7DCB-402B-9477-3C31C1330C70}">
      <text>
        <r>
          <rPr>
            <b/>
            <sz val="8"/>
            <color indexed="81"/>
            <rFont val="Tahoma"/>
            <family val="2"/>
            <charset val="238"/>
          </rPr>
          <t>VLOŽ JEDNOTKOVOU CENU ZHOTOVITELE ZA POLOŽKU</t>
        </r>
        <r>
          <rPr>
            <sz val="8"/>
            <color indexed="81"/>
            <rFont val="Tahoma"/>
            <family val="2"/>
            <charset val="238"/>
          </rPr>
          <t xml:space="preserve">
</t>
        </r>
      </text>
    </comment>
    <comment ref="G163" authorId="0" shapeId="0" xr:uid="{D1AE5691-717E-4790-A1F7-8D17C7652DF7}">
      <text>
        <r>
          <rPr>
            <b/>
            <sz val="8"/>
            <color indexed="81"/>
            <rFont val="Tahoma"/>
            <family val="2"/>
            <charset val="238"/>
          </rPr>
          <t>VLOŽ JEDNOTKOVOU CENU ZHOTOVITELE ZA POLOŽKU</t>
        </r>
        <r>
          <rPr>
            <sz val="8"/>
            <color indexed="81"/>
            <rFont val="Tahoma"/>
            <family val="2"/>
            <charset val="238"/>
          </rPr>
          <t xml:space="preserve">
</t>
        </r>
      </text>
    </comment>
    <comment ref="G165" authorId="0" shapeId="0" xr:uid="{60EEB3B7-F596-4CB3-9860-D2276F50EBE2}">
      <text>
        <r>
          <rPr>
            <b/>
            <sz val="8"/>
            <color indexed="81"/>
            <rFont val="Tahoma"/>
            <family val="2"/>
            <charset val="238"/>
          </rPr>
          <t>VLOŽ JEDNOTKOVOU CENU ZHOTOVITELE ZA POLOŽKU</t>
        </r>
        <r>
          <rPr>
            <sz val="8"/>
            <color indexed="81"/>
            <rFont val="Tahoma"/>
            <family val="2"/>
            <charset val="238"/>
          </rPr>
          <t xml:space="preserve">
</t>
        </r>
      </text>
    </comment>
    <comment ref="G166" authorId="0" shapeId="0" xr:uid="{BC9A2D23-2A27-4625-A5F5-CB03797AAFFE}">
      <text>
        <r>
          <rPr>
            <b/>
            <sz val="8"/>
            <color indexed="81"/>
            <rFont val="Tahoma"/>
            <family val="2"/>
            <charset val="238"/>
          </rPr>
          <t>VLOŽ JEDNOTKOVOU CENU ZHOTOVITELE ZA POLOŽKU</t>
        </r>
        <r>
          <rPr>
            <sz val="8"/>
            <color indexed="81"/>
            <rFont val="Tahoma"/>
            <family val="2"/>
            <charset val="238"/>
          </rPr>
          <t xml:space="preserve">
</t>
        </r>
      </text>
    </comment>
    <comment ref="G168" authorId="0" shapeId="0" xr:uid="{A55CA5DB-D8E5-4BFE-BAFE-D0E65AF2C1B6}">
      <text>
        <r>
          <rPr>
            <b/>
            <sz val="8"/>
            <color indexed="81"/>
            <rFont val="Tahoma"/>
            <family val="2"/>
            <charset val="238"/>
          </rPr>
          <t>VLOŽ JEDNOTKOVOU CENU ZHOTOVITELE ZA POLOŽKU</t>
        </r>
        <r>
          <rPr>
            <sz val="8"/>
            <color indexed="81"/>
            <rFont val="Tahoma"/>
            <family val="2"/>
            <charset val="238"/>
          </rPr>
          <t xml:space="preserve">
</t>
        </r>
      </text>
    </comment>
    <comment ref="G170" authorId="0" shapeId="0" xr:uid="{1F354C9F-3E14-48D3-809D-C63C51A4D327}">
      <text>
        <r>
          <rPr>
            <b/>
            <sz val="8"/>
            <color indexed="81"/>
            <rFont val="Tahoma"/>
            <family val="2"/>
            <charset val="238"/>
          </rPr>
          <t>VLOŽ JEDNOTKOVOU CENU ZHOTOVITELE ZA POLOŽKU</t>
        </r>
        <r>
          <rPr>
            <sz val="8"/>
            <color indexed="81"/>
            <rFont val="Tahoma"/>
            <family val="2"/>
            <charset val="238"/>
          </rPr>
          <t xml:space="preserve">
</t>
        </r>
      </text>
    </comment>
    <comment ref="G172" authorId="0" shapeId="0" xr:uid="{1F30EA25-E2FF-4564-91FE-04C770A3C1AA}">
      <text>
        <r>
          <rPr>
            <b/>
            <sz val="8"/>
            <color indexed="81"/>
            <rFont val="Tahoma"/>
            <family val="2"/>
            <charset val="238"/>
          </rPr>
          <t>VLOŽ JEDNOTKOVOU CENU ZHOTOVITELE ZA POLOŽKU</t>
        </r>
        <r>
          <rPr>
            <sz val="8"/>
            <color indexed="81"/>
            <rFont val="Tahoma"/>
            <family val="2"/>
            <charset val="238"/>
          </rPr>
          <t xml:space="preserve">
</t>
        </r>
      </text>
    </comment>
    <comment ref="G175" authorId="0" shapeId="0" xr:uid="{BE9B0E4F-2656-4BCB-8BE8-8AD51C863CAE}">
      <text>
        <r>
          <rPr>
            <b/>
            <sz val="8"/>
            <color indexed="81"/>
            <rFont val="Tahoma"/>
            <family val="2"/>
            <charset val="238"/>
          </rPr>
          <t>VLOŽ JEDNOTKOVOU CENU ZHOTOVITELE ZA POLOŽKU</t>
        </r>
        <r>
          <rPr>
            <sz val="8"/>
            <color indexed="81"/>
            <rFont val="Tahoma"/>
            <family val="2"/>
            <charset val="238"/>
          </rPr>
          <t xml:space="preserve">
</t>
        </r>
      </text>
    </comment>
    <comment ref="G178" authorId="0" shapeId="0" xr:uid="{925EB651-1633-4B86-A5E7-58A741C84912}">
      <text>
        <r>
          <rPr>
            <b/>
            <sz val="8"/>
            <color indexed="81"/>
            <rFont val="Tahoma"/>
            <family val="2"/>
            <charset val="238"/>
          </rPr>
          <t>VLOŽ JEDNOTKOVOU CENU ZHOTOVITELE ZA POLOŽKU</t>
        </r>
        <r>
          <rPr>
            <sz val="8"/>
            <color indexed="81"/>
            <rFont val="Tahoma"/>
            <family val="2"/>
            <charset val="238"/>
          </rPr>
          <t xml:space="preserve">
</t>
        </r>
      </text>
    </comment>
    <comment ref="G180" authorId="0" shapeId="0" xr:uid="{76E6AABD-8D14-4C21-9D04-F05AC4DFB8DF}">
      <text>
        <r>
          <rPr>
            <b/>
            <sz val="8"/>
            <color indexed="81"/>
            <rFont val="Tahoma"/>
            <family val="2"/>
            <charset val="238"/>
          </rPr>
          <t>VLOŽ JEDNOTKOVOU CENU ZHOTOVITELE ZA POLOŽKU</t>
        </r>
        <r>
          <rPr>
            <sz val="8"/>
            <color indexed="81"/>
            <rFont val="Tahoma"/>
            <family val="2"/>
            <charset val="238"/>
          </rPr>
          <t xml:space="preserve">
</t>
        </r>
      </text>
    </comment>
    <comment ref="G183" authorId="0" shapeId="0" xr:uid="{1E6A0775-E8A5-4641-A343-7FE2F56587AC}">
      <text>
        <r>
          <rPr>
            <b/>
            <sz val="8"/>
            <color indexed="81"/>
            <rFont val="Tahoma"/>
            <family val="2"/>
            <charset val="238"/>
          </rPr>
          <t>VLOŽ JEDNOTKOVOU CENU ZHOTOVITELE ZA POLOŽKU</t>
        </r>
        <r>
          <rPr>
            <sz val="8"/>
            <color indexed="81"/>
            <rFont val="Tahoma"/>
            <family val="2"/>
            <charset val="238"/>
          </rPr>
          <t xml:space="preserve">
</t>
        </r>
      </text>
    </comment>
    <comment ref="G185" authorId="0" shapeId="0" xr:uid="{6D2DB3BC-0D5B-49A9-87E8-498E3D42D0DB}">
      <text>
        <r>
          <rPr>
            <b/>
            <sz val="8"/>
            <color indexed="81"/>
            <rFont val="Tahoma"/>
            <family val="2"/>
            <charset val="238"/>
          </rPr>
          <t>VLOŽ JEDNOTKOVOU CENU ZHOTOVITELE ZA POLOŽKU</t>
        </r>
        <r>
          <rPr>
            <sz val="8"/>
            <color indexed="81"/>
            <rFont val="Tahoma"/>
            <family val="2"/>
            <charset val="238"/>
          </rPr>
          <t xml:space="preserve">
</t>
        </r>
      </text>
    </comment>
    <comment ref="G186" authorId="0" shapeId="0" xr:uid="{43E76064-DE1E-4A51-8054-2E24EA1A32D6}">
      <text>
        <r>
          <rPr>
            <b/>
            <sz val="8"/>
            <color indexed="81"/>
            <rFont val="Tahoma"/>
            <family val="2"/>
            <charset val="238"/>
          </rPr>
          <t>VLOŽ JEDNOTKOVOU CENU ZHOTOVITELE ZA POLOŽKU</t>
        </r>
        <r>
          <rPr>
            <sz val="8"/>
            <color indexed="81"/>
            <rFont val="Tahoma"/>
            <family val="2"/>
            <charset val="238"/>
          </rPr>
          <t xml:space="preserve">
</t>
        </r>
      </text>
    </comment>
    <comment ref="G187" authorId="0" shapeId="0" xr:uid="{862F80FF-C6FB-4A7B-BF53-AF2D720ED089}">
      <text>
        <r>
          <rPr>
            <b/>
            <sz val="8"/>
            <color indexed="81"/>
            <rFont val="Tahoma"/>
            <family val="2"/>
            <charset val="238"/>
          </rPr>
          <t>VLOŽ JEDNOTKOVOU CENU ZHOTOVITELE ZA POLOŽKU</t>
        </r>
        <r>
          <rPr>
            <sz val="8"/>
            <color indexed="81"/>
            <rFont val="Tahoma"/>
            <family val="2"/>
            <charset val="238"/>
          </rPr>
          <t xml:space="preserve">
</t>
        </r>
      </text>
    </comment>
    <comment ref="G188" authorId="0" shapeId="0" xr:uid="{46561307-A1EF-45E1-8575-F54B3447580F}">
      <text>
        <r>
          <rPr>
            <b/>
            <sz val="8"/>
            <color indexed="81"/>
            <rFont val="Tahoma"/>
            <family val="2"/>
            <charset val="238"/>
          </rPr>
          <t>VLOŽ JEDNOTKOVOU CENU ZHOTOVITELE ZA POLOŽKU</t>
        </r>
        <r>
          <rPr>
            <sz val="8"/>
            <color indexed="81"/>
            <rFont val="Tahoma"/>
            <family val="2"/>
            <charset val="238"/>
          </rPr>
          <t xml:space="preserve">
</t>
        </r>
      </text>
    </comment>
    <comment ref="G189" authorId="0" shapeId="0" xr:uid="{9812722E-98E6-4E16-BE4F-94BDB96F52CA}">
      <text>
        <r>
          <rPr>
            <b/>
            <sz val="8"/>
            <color indexed="81"/>
            <rFont val="Tahoma"/>
            <family val="2"/>
            <charset val="238"/>
          </rPr>
          <t>VLOŽ JEDNOTKOVOU CENU ZHOTOVITELE ZA POLOŽKU</t>
        </r>
        <r>
          <rPr>
            <sz val="8"/>
            <color indexed="81"/>
            <rFont val="Tahoma"/>
            <family val="2"/>
            <charset val="238"/>
          </rPr>
          <t xml:space="preserve">
</t>
        </r>
      </text>
    </comment>
    <comment ref="G190" authorId="0" shapeId="0" xr:uid="{16A62451-AC57-402F-91C8-2AF61D113C29}">
      <text>
        <r>
          <rPr>
            <b/>
            <sz val="8"/>
            <color indexed="81"/>
            <rFont val="Tahoma"/>
            <family val="2"/>
            <charset val="238"/>
          </rPr>
          <t>VLOŽ JEDNOTKOVOU CENU ZHOTOVITELE ZA POLOŽKU</t>
        </r>
        <r>
          <rPr>
            <sz val="8"/>
            <color indexed="81"/>
            <rFont val="Tahoma"/>
            <family val="2"/>
            <charset val="238"/>
          </rPr>
          <t xml:space="preserve">
</t>
        </r>
      </text>
    </comment>
    <comment ref="G191" authorId="0" shapeId="0" xr:uid="{C16072EB-31BD-4E0F-930E-6683381B5282}">
      <text>
        <r>
          <rPr>
            <b/>
            <sz val="8"/>
            <color indexed="81"/>
            <rFont val="Tahoma"/>
            <family val="2"/>
            <charset val="238"/>
          </rPr>
          <t>VLOŽ JEDNOTKOVOU CENU ZHOTOVITELE ZA POLOŽKU</t>
        </r>
        <r>
          <rPr>
            <sz val="8"/>
            <color indexed="81"/>
            <rFont val="Tahoma"/>
            <family val="2"/>
            <charset val="238"/>
          </rPr>
          <t xml:space="preserve">
</t>
        </r>
      </text>
    </comment>
    <comment ref="G192" authorId="0" shapeId="0" xr:uid="{1354B3C8-E81F-4625-9CEF-226BDCF1CEFF}">
      <text>
        <r>
          <rPr>
            <b/>
            <sz val="8"/>
            <color indexed="81"/>
            <rFont val="Tahoma"/>
            <family val="2"/>
            <charset val="238"/>
          </rPr>
          <t>VLOŽ JEDNOTKOVOU CENU ZHOTOVITELE ZA POLOŽKU</t>
        </r>
        <r>
          <rPr>
            <sz val="8"/>
            <color indexed="81"/>
            <rFont val="Tahoma"/>
            <family val="2"/>
            <charset val="238"/>
          </rPr>
          <t xml:space="preserve">
</t>
        </r>
      </text>
    </comment>
    <comment ref="G193" authorId="0" shapeId="0" xr:uid="{BE2B8EAF-2979-4646-8F94-E56C4EEFC667}">
      <text>
        <r>
          <rPr>
            <b/>
            <sz val="8"/>
            <color indexed="81"/>
            <rFont val="Tahoma"/>
            <family val="2"/>
            <charset val="238"/>
          </rPr>
          <t>VLOŽ JEDNOTKOVOU CENU ZHOTOVITELE ZA POLOŽKU</t>
        </r>
        <r>
          <rPr>
            <sz val="8"/>
            <color indexed="81"/>
            <rFont val="Tahoma"/>
            <family val="2"/>
            <charset val="238"/>
          </rPr>
          <t xml:space="preserve">
</t>
        </r>
      </text>
    </comment>
    <comment ref="G194" authorId="0" shapeId="0" xr:uid="{27DB7623-6BDB-4673-972B-7AD619B0F26D}">
      <text>
        <r>
          <rPr>
            <b/>
            <sz val="8"/>
            <color indexed="81"/>
            <rFont val="Tahoma"/>
            <family val="2"/>
            <charset val="238"/>
          </rPr>
          <t>VLOŽ JEDNOTKOVOU CENU ZHOTOVITELE ZA POLOŽKU</t>
        </r>
        <r>
          <rPr>
            <sz val="8"/>
            <color indexed="81"/>
            <rFont val="Tahoma"/>
            <family val="2"/>
            <charset val="238"/>
          </rPr>
          <t xml:space="preserve">
</t>
        </r>
      </text>
    </comment>
    <comment ref="G195" authorId="0" shapeId="0" xr:uid="{10A2F611-45D3-4286-B05E-34BA9679D31A}">
      <text>
        <r>
          <rPr>
            <b/>
            <sz val="8"/>
            <color indexed="81"/>
            <rFont val="Tahoma"/>
            <family val="2"/>
            <charset val="238"/>
          </rPr>
          <t>VLOŽ JEDNOTKOVOU CENU ZHOTOVITELE ZA POLOŽKU</t>
        </r>
        <r>
          <rPr>
            <sz val="8"/>
            <color indexed="81"/>
            <rFont val="Tahoma"/>
            <family val="2"/>
            <charset val="238"/>
          </rPr>
          <t xml:space="preserve">
</t>
        </r>
      </text>
    </comment>
    <comment ref="G197" authorId="0" shapeId="0" xr:uid="{5CE5255A-54C8-4181-9A11-A3C05A959942}">
      <text>
        <r>
          <rPr>
            <b/>
            <sz val="8"/>
            <color indexed="81"/>
            <rFont val="Tahoma"/>
            <family val="2"/>
            <charset val="238"/>
          </rPr>
          <t>VLOŽ JEDNOTKOVOU CENU ZHOTOVITELE ZA POLOŽKU</t>
        </r>
        <r>
          <rPr>
            <sz val="8"/>
            <color indexed="81"/>
            <rFont val="Tahoma"/>
            <family val="2"/>
            <charset val="238"/>
          </rPr>
          <t xml:space="preserve">
</t>
        </r>
      </text>
    </comment>
    <comment ref="G199" authorId="0" shapeId="0" xr:uid="{4163D8D5-4E4D-450D-939E-FA8830096AAA}">
      <text>
        <r>
          <rPr>
            <b/>
            <sz val="8"/>
            <color indexed="81"/>
            <rFont val="Tahoma"/>
            <family val="2"/>
            <charset val="238"/>
          </rPr>
          <t>VLOŽ JEDNOTKOVOU CENU ZHOTOVITELE ZA POLOŽKU</t>
        </r>
        <r>
          <rPr>
            <sz val="8"/>
            <color indexed="81"/>
            <rFont val="Tahoma"/>
            <family val="2"/>
            <charset val="238"/>
          </rPr>
          <t xml:space="preserve">
</t>
        </r>
      </text>
    </comment>
    <comment ref="G201" authorId="0" shapeId="0" xr:uid="{8F52431F-E0BF-4D95-915F-67E509019649}">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9AEB967A-0236-4F40-83CE-0E005ACD2121}">
      <text>
        <r>
          <rPr>
            <b/>
            <sz val="8"/>
            <color indexed="81"/>
            <rFont val="Tahoma"/>
            <family val="2"/>
            <charset val="238"/>
          </rPr>
          <t>VLOŽ JEDNOTKOVOU CENU ZHOTOVITELE ZA POLOŽKU</t>
        </r>
        <r>
          <rPr>
            <sz val="8"/>
            <color indexed="81"/>
            <rFont val="Tahoma"/>
            <family val="2"/>
            <charset val="238"/>
          </rPr>
          <t xml:space="preserve">
</t>
        </r>
      </text>
    </comment>
    <comment ref="G16" authorId="0" shapeId="0" xr:uid="{F813DCC0-1E4E-4A77-A8FD-A99A21C9515C}">
      <text>
        <r>
          <rPr>
            <b/>
            <sz val="8"/>
            <color indexed="81"/>
            <rFont val="Tahoma"/>
            <family val="2"/>
            <charset val="238"/>
          </rPr>
          <t>VLOŽ JEDNOTKOVOU CENU ZHOTOVITELE ZA POLOŽKU</t>
        </r>
        <r>
          <rPr>
            <sz val="8"/>
            <color indexed="81"/>
            <rFont val="Tahoma"/>
            <family val="2"/>
            <charset val="238"/>
          </rPr>
          <t xml:space="preserve">
</t>
        </r>
      </text>
    </comment>
    <comment ref="G18" authorId="0" shapeId="0" xr:uid="{D6872664-5F04-42CF-B3C1-7442912E7AD9}">
      <text>
        <r>
          <rPr>
            <b/>
            <sz val="8"/>
            <color indexed="81"/>
            <rFont val="Tahoma"/>
            <family val="2"/>
            <charset val="238"/>
          </rPr>
          <t>VLOŽ JEDNOTKOVOU CENU ZHOTOVITELE ZA POLOŽKU</t>
        </r>
        <r>
          <rPr>
            <sz val="8"/>
            <color indexed="81"/>
            <rFont val="Tahoma"/>
            <family val="2"/>
            <charset val="238"/>
          </rPr>
          <t xml:space="preserve">
</t>
        </r>
      </text>
    </comment>
    <comment ref="G20" authorId="0" shapeId="0" xr:uid="{0681D948-8C84-4EDF-BD12-AC8333CF7C19}">
      <text>
        <r>
          <rPr>
            <b/>
            <sz val="8"/>
            <color indexed="81"/>
            <rFont val="Tahoma"/>
            <family val="2"/>
            <charset val="238"/>
          </rPr>
          <t>VLOŽ JEDNOTKOVOU CENU ZHOTOVITELE ZA POLOŽKU</t>
        </r>
        <r>
          <rPr>
            <sz val="8"/>
            <color indexed="81"/>
            <rFont val="Tahoma"/>
            <family val="2"/>
            <charset val="238"/>
          </rPr>
          <t xml:space="preserve">
</t>
        </r>
      </text>
    </comment>
    <comment ref="G22" authorId="0" shapeId="0" xr:uid="{910DFC0C-E872-4843-B42A-F01D6EB36695}">
      <text>
        <r>
          <rPr>
            <b/>
            <sz val="8"/>
            <color indexed="81"/>
            <rFont val="Tahoma"/>
            <family val="2"/>
            <charset val="238"/>
          </rPr>
          <t>VLOŽ JEDNOTKOVOU CENU ZHOTOVITELE ZA POLOŽKU</t>
        </r>
        <r>
          <rPr>
            <sz val="8"/>
            <color indexed="81"/>
            <rFont val="Tahoma"/>
            <family val="2"/>
            <charset val="238"/>
          </rPr>
          <t xml:space="preserve">
</t>
        </r>
      </text>
    </comment>
    <comment ref="G24" authorId="0" shapeId="0" xr:uid="{1421DC96-85C8-44D2-A376-C634CDB29ADE}">
      <text>
        <r>
          <rPr>
            <b/>
            <sz val="8"/>
            <color indexed="81"/>
            <rFont val="Tahoma"/>
            <family val="2"/>
            <charset val="238"/>
          </rPr>
          <t>VLOŽ JEDNOTKOVOU CENU ZHOTOVITELE ZA POLOŽKU</t>
        </r>
        <r>
          <rPr>
            <sz val="8"/>
            <color indexed="81"/>
            <rFont val="Tahoma"/>
            <family val="2"/>
            <charset val="238"/>
          </rPr>
          <t xml:space="preserve">
</t>
        </r>
      </text>
    </comment>
    <comment ref="G26" authorId="0" shapeId="0" xr:uid="{BC696F1B-E69F-40D0-99C2-D4D2ADCB4F0F}">
      <text>
        <r>
          <rPr>
            <b/>
            <sz val="8"/>
            <color indexed="81"/>
            <rFont val="Tahoma"/>
            <family val="2"/>
            <charset val="238"/>
          </rPr>
          <t>VLOŽ JEDNOTKOVOU CENU ZHOTOVITELE ZA POLOŽKU</t>
        </r>
        <r>
          <rPr>
            <sz val="8"/>
            <color indexed="81"/>
            <rFont val="Tahoma"/>
            <family val="2"/>
            <charset val="238"/>
          </rPr>
          <t xml:space="preserve">
</t>
        </r>
      </text>
    </comment>
    <comment ref="G29" authorId="0" shapeId="0" xr:uid="{11B55844-2539-451C-BCBF-6ECC71B01C60}">
      <text>
        <r>
          <rPr>
            <b/>
            <sz val="8"/>
            <color indexed="81"/>
            <rFont val="Tahoma"/>
            <family val="2"/>
            <charset val="238"/>
          </rPr>
          <t>VLOŽ JEDNOTKOVOU CENU ZHOTOVITELE ZA POLOŽKU</t>
        </r>
        <r>
          <rPr>
            <sz val="8"/>
            <color indexed="81"/>
            <rFont val="Tahoma"/>
            <family val="2"/>
            <charset val="238"/>
          </rPr>
          <t xml:space="preserve">
</t>
        </r>
      </text>
    </comment>
    <comment ref="G32" authorId="0" shapeId="0" xr:uid="{FBB0B415-EFD0-47DE-8B7F-EF529EF7B528}">
      <text>
        <r>
          <rPr>
            <b/>
            <sz val="8"/>
            <color indexed="81"/>
            <rFont val="Tahoma"/>
            <family val="2"/>
            <charset val="238"/>
          </rPr>
          <t>VLOŽ JEDNOTKOVOU CENU ZHOTOVITELE ZA POLOŽKU</t>
        </r>
        <r>
          <rPr>
            <sz val="8"/>
            <color indexed="81"/>
            <rFont val="Tahoma"/>
            <family val="2"/>
            <charset val="238"/>
          </rPr>
          <t xml:space="preserve">
</t>
        </r>
      </text>
    </comment>
    <comment ref="G34" authorId="0" shapeId="0" xr:uid="{2EDC7009-EBD7-4238-B41A-1FE1CFA60D26}">
      <text>
        <r>
          <rPr>
            <b/>
            <sz val="8"/>
            <color indexed="81"/>
            <rFont val="Tahoma"/>
            <family val="2"/>
            <charset val="238"/>
          </rPr>
          <t>VLOŽ JEDNOTKOVOU CENU ZHOTOVITELE ZA POLOŽKU</t>
        </r>
        <r>
          <rPr>
            <sz val="8"/>
            <color indexed="81"/>
            <rFont val="Tahoma"/>
            <family val="2"/>
            <charset val="238"/>
          </rPr>
          <t xml:space="preserve">
</t>
        </r>
      </text>
    </comment>
    <comment ref="G36" authorId="0" shapeId="0" xr:uid="{79F7D5EA-69E3-44BF-AD7D-0F1CF559F101}">
      <text>
        <r>
          <rPr>
            <b/>
            <sz val="8"/>
            <color indexed="81"/>
            <rFont val="Tahoma"/>
            <family val="2"/>
            <charset val="238"/>
          </rPr>
          <t>VLOŽ JEDNOTKOVOU CENU ZHOTOVITELE ZA POLOŽKU</t>
        </r>
        <r>
          <rPr>
            <sz val="8"/>
            <color indexed="81"/>
            <rFont val="Tahoma"/>
            <family val="2"/>
            <charset val="238"/>
          </rPr>
          <t xml:space="preserve">
</t>
        </r>
      </text>
    </comment>
    <comment ref="G38" authorId="0" shapeId="0" xr:uid="{6A5306BA-4AA5-46AD-B7B4-8E87779D42E7}">
      <text>
        <r>
          <rPr>
            <b/>
            <sz val="8"/>
            <color indexed="81"/>
            <rFont val="Tahoma"/>
            <family val="2"/>
            <charset val="238"/>
          </rPr>
          <t>VLOŽ JEDNOTKOVOU CENU ZHOTOVITELE ZA POLOŽKU</t>
        </r>
        <r>
          <rPr>
            <sz val="8"/>
            <color indexed="81"/>
            <rFont val="Tahoma"/>
            <family val="2"/>
            <charset val="238"/>
          </rPr>
          <t xml:space="preserve">
</t>
        </r>
      </text>
    </comment>
    <comment ref="G40" authorId="0" shapeId="0" xr:uid="{EBDC2A56-2DBB-47EE-834D-9FAF210C3917}">
      <text>
        <r>
          <rPr>
            <b/>
            <sz val="8"/>
            <color indexed="81"/>
            <rFont val="Tahoma"/>
            <family val="2"/>
            <charset val="238"/>
          </rPr>
          <t>VLOŽ JEDNOTKOVOU CENU ZHOTOVITELE ZA POLOŽKU</t>
        </r>
        <r>
          <rPr>
            <sz val="8"/>
            <color indexed="81"/>
            <rFont val="Tahoma"/>
            <family val="2"/>
            <charset val="238"/>
          </rPr>
          <t xml:space="preserve">
</t>
        </r>
      </text>
    </comment>
    <comment ref="G42" authorId="0" shapeId="0" xr:uid="{ED8B3BBE-9F65-47A7-9192-F675333549EF}">
      <text>
        <r>
          <rPr>
            <b/>
            <sz val="8"/>
            <color indexed="81"/>
            <rFont val="Tahoma"/>
            <family val="2"/>
            <charset val="238"/>
          </rPr>
          <t>VLOŽ JEDNOTKOVOU CENU ZHOTOVITELE ZA POLOŽKU</t>
        </r>
        <r>
          <rPr>
            <sz val="8"/>
            <color indexed="81"/>
            <rFont val="Tahoma"/>
            <family val="2"/>
            <charset val="238"/>
          </rPr>
          <t xml:space="preserve">
</t>
        </r>
      </text>
    </comment>
    <comment ref="G44" authorId="0" shapeId="0" xr:uid="{70B869BA-15AA-46DA-8CEE-3DB8EEDD21E3}">
      <text>
        <r>
          <rPr>
            <b/>
            <sz val="8"/>
            <color indexed="81"/>
            <rFont val="Tahoma"/>
            <family val="2"/>
            <charset val="238"/>
          </rPr>
          <t>VLOŽ JEDNOTKOVOU CENU ZHOTOVITELE ZA POLOŽKU</t>
        </r>
        <r>
          <rPr>
            <sz val="8"/>
            <color indexed="81"/>
            <rFont val="Tahoma"/>
            <family val="2"/>
            <charset val="238"/>
          </rPr>
          <t xml:space="preserve">
</t>
        </r>
      </text>
    </comment>
    <comment ref="G47" authorId="0" shapeId="0" xr:uid="{59F0F8C3-B7D6-43ED-910C-E4766B7400E4}">
      <text>
        <r>
          <rPr>
            <b/>
            <sz val="8"/>
            <color indexed="81"/>
            <rFont val="Tahoma"/>
            <family val="2"/>
            <charset val="238"/>
          </rPr>
          <t>VLOŽ JEDNOTKOVOU CENU ZHOTOVITELE ZA POLOŽKU</t>
        </r>
        <r>
          <rPr>
            <sz val="8"/>
            <color indexed="81"/>
            <rFont val="Tahoma"/>
            <family val="2"/>
            <charset val="238"/>
          </rPr>
          <t xml:space="preserve">
</t>
        </r>
      </text>
    </comment>
    <comment ref="G49" authorId="0" shapeId="0" xr:uid="{484EC8DC-BBC3-4037-AA44-9A12CC18C958}">
      <text>
        <r>
          <rPr>
            <b/>
            <sz val="8"/>
            <color indexed="81"/>
            <rFont val="Tahoma"/>
            <family val="2"/>
            <charset val="238"/>
          </rPr>
          <t>VLOŽ JEDNOTKOVOU CENU ZHOTOVITELE ZA POLOŽKU</t>
        </r>
        <r>
          <rPr>
            <sz val="8"/>
            <color indexed="81"/>
            <rFont val="Tahoma"/>
            <family val="2"/>
            <charset val="238"/>
          </rPr>
          <t xml:space="preserve">
</t>
        </r>
      </text>
    </comment>
    <comment ref="G52" authorId="0" shapeId="0" xr:uid="{62F7B591-0F49-48CA-880B-878E1BFA2572}">
      <text>
        <r>
          <rPr>
            <b/>
            <sz val="8"/>
            <color indexed="81"/>
            <rFont val="Tahoma"/>
            <family val="2"/>
            <charset val="238"/>
          </rPr>
          <t>VLOŽ JEDNOTKOVOU CENU ZHOTOVITELE ZA POLOŽKU</t>
        </r>
        <r>
          <rPr>
            <sz val="8"/>
            <color indexed="81"/>
            <rFont val="Tahoma"/>
            <family val="2"/>
            <charset val="238"/>
          </rPr>
          <t xml:space="preserve">
</t>
        </r>
      </text>
    </comment>
    <comment ref="G54" authorId="0" shapeId="0" xr:uid="{1A1D184C-2D6D-4D25-890C-0764F8C96757}">
      <text>
        <r>
          <rPr>
            <b/>
            <sz val="8"/>
            <color indexed="81"/>
            <rFont val="Tahoma"/>
            <family val="2"/>
            <charset val="238"/>
          </rPr>
          <t>VLOŽ JEDNOTKOVOU CENU ZHOTOVITELE ZA POLOŽKU</t>
        </r>
        <r>
          <rPr>
            <sz val="8"/>
            <color indexed="81"/>
            <rFont val="Tahoma"/>
            <family val="2"/>
            <charset val="238"/>
          </rPr>
          <t xml:space="preserve">
</t>
        </r>
      </text>
    </comment>
    <comment ref="G56" authorId="0" shapeId="0" xr:uid="{57E34A3D-F83E-4CEF-BA3B-2B640E3011C6}">
      <text>
        <r>
          <rPr>
            <b/>
            <sz val="8"/>
            <color indexed="81"/>
            <rFont val="Tahoma"/>
            <family val="2"/>
            <charset val="238"/>
          </rPr>
          <t>VLOŽ JEDNOTKOVOU CENU ZHOTOVITELE ZA POLOŽKU</t>
        </r>
        <r>
          <rPr>
            <sz val="8"/>
            <color indexed="81"/>
            <rFont val="Tahoma"/>
            <family val="2"/>
            <charset val="238"/>
          </rPr>
          <t xml:space="preserve">
</t>
        </r>
      </text>
    </comment>
    <comment ref="G58" authorId="0" shapeId="0" xr:uid="{67363FE9-6214-478C-A9C8-EEBD54B5BF4C}">
      <text>
        <r>
          <rPr>
            <b/>
            <sz val="8"/>
            <color indexed="81"/>
            <rFont val="Tahoma"/>
            <family val="2"/>
            <charset val="238"/>
          </rPr>
          <t>VLOŽ JEDNOTKOVOU CENU ZHOTOVITELE ZA POLOŽKU</t>
        </r>
        <r>
          <rPr>
            <sz val="8"/>
            <color indexed="81"/>
            <rFont val="Tahoma"/>
            <family val="2"/>
            <charset val="238"/>
          </rPr>
          <t xml:space="preserve">
</t>
        </r>
      </text>
    </comment>
    <comment ref="G60" authorId="0" shapeId="0" xr:uid="{A96BD2F6-9E0F-42C4-A839-9BD4E3F72B10}">
      <text>
        <r>
          <rPr>
            <b/>
            <sz val="8"/>
            <color indexed="81"/>
            <rFont val="Tahoma"/>
            <family val="2"/>
            <charset val="238"/>
          </rPr>
          <t>VLOŽ JEDNOTKOVOU CENU ZHOTOVITELE ZA POLOŽKU</t>
        </r>
        <r>
          <rPr>
            <sz val="8"/>
            <color indexed="81"/>
            <rFont val="Tahoma"/>
            <family val="2"/>
            <charset val="238"/>
          </rPr>
          <t xml:space="preserve">
</t>
        </r>
      </text>
    </comment>
    <comment ref="G62" authorId="0" shapeId="0" xr:uid="{F956F297-2E67-4F7C-B82D-223D393E51B3}">
      <text>
        <r>
          <rPr>
            <b/>
            <sz val="8"/>
            <color indexed="81"/>
            <rFont val="Tahoma"/>
            <family val="2"/>
            <charset val="238"/>
          </rPr>
          <t>VLOŽ JEDNOTKOVOU CENU ZHOTOVITELE ZA POLOŽKU</t>
        </r>
        <r>
          <rPr>
            <sz val="8"/>
            <color indexed="81"/>
            <rFont val="Tahoma"/>
            <family val="2"/>
            <charset val="238"/>
          </rPr>
          <t xml:space="preserve">
</t>
        </r>
      </text>
    </comment>
    <comment ref="G65" authorId="0" shapeId="0" xr:uid="{C840DB7A-5806-44AD-AAE1-255844E7CB2C}">
      <text>
        <r>
          <rPr>
            <b/>
            <sz val="8"/>
            <color indexed="81"/>
            <rFont val="Tahoma"/>
            <family val="2"/>
            <charset val="238"/>
          </rPr>
          <t>VLOŽ JEDNOTKOVOU CENU ZHOTOVITELE ZA POLOŽKU</t>
        </r>
        <r>
          <rPr>
            <sz val="8"/>
            <color indexed="81"/>
            <rFont val="Tahoma"/>
            <family val="2"/>
            <charset val="238"/>
          </rPr>
          <t xml:space="preserve">
</t>
        </r>
      </text>
    </comment>
    <comment ref="G67" authorId="0" shapeId="0" xr:uid="{395AACE1-0BBB-467D-A9CC-9BE99E2B8037}">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A1D1563A-1C69-44C2-B04D-84FC7F066366}">
      <text>
        <r>
          <rPr>
            <b/>
            <sz val="8"/>
            <color indexed="81"/>
            <rFont val="Tahoma"/>
            <family val="2"/>
            <charset val="238"/>
          </rPr>
          <t>VLOŽ JEDNOTKOVOU CENU ZHOTOVITELE ZA POLOŽKU</t>
        </r>
        <r>
          <rPr>
            <sz val="8"/>
            <color indexed="81"/>
            <rFont val="Tahoma"/>
            <family val="2"/>
            <charset val="238"/>
          </rPr>
          <t xml:space="preserve">
</t>
        </r>
      </text>
    </comment>
    <comment ref="G71" authorId="0" shapeId="0" xr:uid="{147FCC9C-09EC-409E-8A1B-5A11F012C68E}">
      <text>
        <r>
          <rPr>
            <b/>
            <sz val="8"/>
            <color indexed="81"/>
            <rFont val="Tahoma"/>
            <family val="2"/>
            <charset val="238"/>
          </rPr>
          <t>VLOŽ JEDNOTKOVOU CENU ZHOTOVITELE ZA POLOŽKU</t>
        </r>
        <r>
          <rPr>
            <sz val="8"/>
            <color indexed="81"/>
            <rFont val="Tahoma"/>
            <family val="2"/>
            <charset val="238"/>
          </rPr>
          <t xml:space="preserve">
</t>
        </r>
      </text>
    </comment>
    <comment ref="G73" authorId="0" shapeId="0" xr:uid="{B4769DFA-129D-4CF8-98DC-196E20F87874}">
      <text>
        <r>
          <rPr>
            <b/>
            <sz val="8"/>
            <color indexed="81"/>
            <rFont val="Tahoma"/>
            <family val="2"/>
            <charset val="238"/>
          </rPr>
          <t>VLOŽ JEDNOTKOVOU CENU ZHOTOVITELE ZA POLOŽKU</t>
        </r>
        <r>
          <rPr>
            <sz val="8"/>
            <color indexed="81"/>
            <rFont val="Tahoma"/>
            <family val="2"/>
            <charset val="238"/>
          </rPr>
          <t xml:space="preserve">
</t>
        </r>
      </text>
    </comment>
    <comment ref="G76" authorId="0" shapeId="0" xr:uid="{A105CCE6-F488-4D0A-BC5E-7B20BEA6EF83}">
      <text>
        <r>
          <rPr>
            <b/>
            <sz val="8"/>
            <color indexed="81"/>
            <rFont val="Tahoma"/>
            <family val="2"/>
            <charset val="238"/>
          </rPr>
          <t>VLOŽ JEDNOTKOVOU CENU ZHOTOVITELE ZA POLOŽKU</t>
        </r>
        <r>
          <rPr>
            <sz val="8"/>
            <color indexed="81"/>
            <rFont val="Tahoma"/>
            <family val="2"/>
            <charset val="238"/>
          </rPr>
          <t xml:space="preserve">
</t>
        </r>
      </text>
    </comment>
    <comment ref="G78" authorId="0" shapeId="0" xr:uid="{6DD37B2E-4E12-4530-AEF0-2872C35F788E}">
      <text>
        <r>
          <rPr>
            <b/>
            <sz val="8"/>
            <color indexed="81"/>
            <rFont val="Tahoma"/>
            <family val="2"/>
            <charset val="238"/>
          </rPr>
          <t>VLOŽ JEDNOTKOVOU CENU ZHOTOVITELE ZA POLOŽKU</t>
        </r>
        <r>
          <rPr>
            <sz val="8"/>
            <color indexed="81"/>
            <rFont val="Tahoma"/>
            <family val="2"/>
            <charset val="238"/>
          </rPr>
          <t xml:space="preserve">
</t>
        </r>
      </text>
    </comment>
    <comment ref="G80" authorId="0" shapeId="0" xr:uid="{BEF932AC-BEE2-4672-9854-78DB8434CE17}">
      <text>
        <r>
          <rPr>
            <b/>
            <sz val="8"/>
            <color indexed="81"/>
            <rFont val="Tahoma"/>
            <family val="2"/>
            <charset val="238"/>
          </rPr>
          <t>VLOŽ JEDNOTKOVOU CENU ZHOTOVITELE ZA POLOŽKU</t>
        </r>
        <r>
          <rPr>
            <sz val="8"/>
            <color indexed="81"/>
            <rFont val="Tahoma"/>
            <family val="2"/>
            <charset val="238"/>
          </rPr>
          <t xml:space="preserve">
</t>
        </r>
      </text>
    </comment>
    <comment ref="G82" authorId="0" shapeId="0" xr:uid="{4685E579-608B-46CB-86A0-43748FD1EDAC}">
      <text>
        <r>
          <rPr>
            <b/>
            <sz val="8"/>
            <color indexed="81"/>
            <rFont val="Tahoma"/>
            <family val="2"/>
            <charset val="238"/>
          </rPr>
          <t>VLOŽ JEDNOTKOVOU CENU ZHOTOVITELE ZA POLOŽKU</t>
        </r>
        <r>
          <rPr>
            <sz val="8"/>
            <color indexed="81"/>
            <rFont val="Tahoma"/>
            <family val="2"/>
            <charset val="238"/>
          </rPr>
          <t xml:space="preserve">
</t>
        </r>
      </text>
    </comment>
    <comment ref="G85" authorId="0" shapeId="0" xr:uid="{46CAE04D-91CF-4119-9F93-E403DCF56D10}">
      <text>
        <r>
          <rPr>
            <b/>
            <sz val="8"/>
            <color indexed="81"/>
            <rFont val="Tahoma"/>
            <family val="2"/>
            <charset val="238"/>
          </rPr>
          <t>VLOŽ JEDNOTKOVOU CENU ZHOTOVITELE ZA POLOŽKU</t>
        </r>
        <r>
          <rPr>
            <sz val="8"/>
            <color indexed="81"/>
            <rFont val="Tahoma"/>
            <family val="2"/>
            <charset val="238"/>
          </rPr>
          <t xml:space="preserve">
</t>
        </r>
      </text>
    </comment>
    <comment ref="G88" authorId="0" shapeId="0" xr:uid="{393D9B64-C4F5-4793-BC75-7EB0EF078585}">
      <text>
        <r>
          <rPr>
            <b/>
            <sz val="8"/>
            <color indexed="81"/>
            <rFont val="Tahoma"/>
            <family val="2"/>
            <charset val="238"/>
          </rPr>
          <t>VLOŽ JEDNOTKOVOU CENU ZHOTOVITELE ZA POLOŽKU</t>
        </r>
        <r>
          <rPr>
            <sz val="8"/>
            <color indexed="81"/>
            <rFont val="Tahoma"/>
            <family val="2"/>
            <charset val="238"/>
          </rPr>
          <t xml:space="preserve">
</t>
        </r>
      </text>
    </comment>
    <comment ref="G90" authorId="0" shapeId="0" xr:uid="{F360DB21-BD73-4AD6-9534-9DD47C814F10}">
      <text>
        <r>
          <rPr>
            <b/>
            <sz val="8"/>
            <color indexed="81"/>
            <rFont val="Tahoma"/>
            <family val="2"/>
            <charset val="238"/>
          </rPr>
          <t>VLOŽ JEDNOTKOVOU CENU ZHOTOVITELE ZA POLOŽKU</t>
        </r>
        <r>
          <rPr>
            <sz val="8"/>
            <color indexed="81"/>
            <rFont val="Tahoma"/>
            <family val="2"/>
            <charset val="238"/>
          </rPr>
          <t xml:space="preserve">
</t>
        </r>
      </text>
    </comment>
    <comment ref="G92" authorId="0" shapeId="0" xr:uid="{D30E5B4D-7EDA-406D-8ACB-7F33970BCEC0}">
      <text>
        <r>
          <rPr>
            <b/>
            <sz val="8"/>
            <color indexed="81"/>
            <rFont val="Tahoma"/>
            <family val="2"/>
            <charset val="238"/>
          </rPr>
          <t>VLOŽ JEDNOTKOVOU CENU ZHOTOVITELE ZA POLOŽKU</t>
        </r>
        <r>
          <rPr>
            <sz val="8"/>
            <color indexed="81"/>
            <rFont val="Tahoma"/>
            <family val="2"/>
            <charset val="238"/>
          </rPr>
          <t xml:space="preserve">
</t>
        </r>
      </text>
    </comment>
    <comment ref="G94" authorId="0" shapeId="0" xr:uid="{EA641C46-1128-41A8-A473-04646FE956EB}">
      <text>
        <r>
          <rPr>
            <b/>
            <sz val="8"/>
            <color indexed="81"/>
            <rFont val="Tahoma"/>
            <family val="2"/>
            <charset val="238"/>
          </rPr>
          <t>VLOŽ JEDNOTKOVOU CENU ZHOTOVITELE ZA POLOŽKU</t>
        </r>
        <r>
          <rPr>
            <sz val="8"/>
            <color indexed="81"/>
            <rFont val="Tahoma"/>
            <family val="2"/>
            <charset val="238"/>
          </rPr>
          <t xml:space="preserve">
</t>
        </r>
      </text>
    </comment>
    <comment ref="G97" authorId="0" shapeId="0" xr:uid="{B1C65A64-A11E-484B-A676-7DF906141F55}">
      <text>
        <r>
          <rPr>
            <b/>
            <sz val="8"/>
            <color indexed="81"/>
            <rFont val="Tahoma"/>
            <family val="2"/>
            <charset val="238"/>
          </rPr>
          <t>VLOŽ JEDNOTKOVOU CENU ZHOTOVITELE ZA POLOŽKU</t>
        </r>
        <r>
          <rPr>
            <sz val="8"/>
            <color indexed="81"/>
            <rFont val="Tahoma"/>
            <family val="2"/>
            <charset val="238"/>
          </rPr>
          <t xml:space="preserve">
</t>
        </r>
      </text>
    </comment>
    <comment ref="G99" authorId="0" shapeId="0" xr:uid="{BE20B3AA-D41B-4BFC-A6CA-A52F53A47354}">
      <text>
        <r>
          <rPr>
            <b/>
            <sz val="8"/>
            <color indexed="81"/>
            <rFont val="Tahoma"/>
            <family val="2"/>
            <charset val="238"/>
          </rPr>
          <t>VLOŽ JEDNOTKOVOU CENU ZHOTOVITELE ZA POLOŽKU</t>
        </r>
        <r>
          <rPr>
            <sz val="8"/>
            <color indexed="81"/>
            <rFont val="Tahoma"/>
            <family val="2"/>
            <charset val="238"/>
          </rPr>
          <t xml:space="preserve">
</t>
        </r>
      </text>
    </comment>
    <comment ref="G101" authorId="0" shapeId="0" xr:uid="{42FC984E-8AED-474D-83A4-44DEE5FA0171}">
      <text>
        <r>
          <rPr>
            <b/>
            <sz val="8"/>
            <color indexed="81"/>
            <rFont val="Tahoma"/>
            <family val="2"/>
            <charset val="238"/>
          </rPr>
          <t>VLOŽ JEDNOTKOVOU CENU ZHOTOVITELE ZA POLOŽKU</t>
        </r>
        <r>
          <rPr>
            <sz val="8"/>
            <color indexed="81"/>
            <rFont val="Tahoma"/>
            <family val="2"/>
            <charset val="238"/>
          </rPr>
          <t xml:space="preserve">
</t>
        </r>
      </text>
    </comment>
    <comment ref="G103" authorId="0" shapeId="0" xr:uid="{63D7553B-3EA2-4E93-BDDF-4EC7EDC4631D}">
      <text>
        <r>
          <rPr>
            <b/>
            <sz val="8"/>
            <color indexed="81"/>
            <rFont val="Tahoma"/>
            <family val="2"/>
            <charset val="238"/>
          </rPr>
          <t>VLOŽ JEDNOTKOVOU CENU ZHOTOVITELE ZA POLOŽKU</t>
        </r>
        <r>
          <rPr>
            <sz val="8"/>
            <color indexed="81"/>
            <rFont val="Tahoma"/>
            <family val="2"/>
            <charset val="238"/>
          </rPr>
          <t xml:space="preserve">
</t>
        </r>
      </text>
    </comment>
    <comment ref="G106" authorId="0" shapeId="0" xr:uid="{28EAA9B8-010E-4C34-8FB9-8E0416A3611F}">
      <text>
        <r>
          <rPr>
            <b/>
            <sz val="8"/>
            <color indexed="81"/>
            <rFont val="Tahoma"/>
            <family val="2"/>
            <charset val="238"/>
          </rPr>
          <t>VLOŽ JEDNOTKOVOU CENU ZHOTOVITELE ZA POLOŽKU</t>
        </r>
        <r>
          <rPr>
            <sz val="8"/>
            <color indexed="81"/>
            <rFont val="Tahoma"/>
            <family val="2"/>
            <charset val="238"/>
          </rPr>
          <t xml:space="preserve">
</t>
        </r>
      </text>
    </comment>
    <comment ref="G108" authorId="0" shapeId="0" xr:uid="{45625102-9E72-4692-9A11-3160ED84FFF4}">
      <text>
        <r>
          <rPr>
            <b/>
            <sz val="8"/>
            <color indexed="81"/>
            <rFont val="Tahoma"/>
            <family val="2"/>
            <charset val="238"/>
          </rPr>
          <t>VLOŽ JEDNOTKOVOU CENU ZHOTOVITELE ZA POLOŽKU</t>
        </r>
        <r>
          <rPr>
            <sz val="8"/>
            <color indexed="81"/>
            <rFont val="Tahoma"/>
            <family val="2"/>
            <charset val="238"/>
          </rPr>
          <t xml:space="preserve">
</t>
        </r>
      </text>
    </comment>
    <comment ref="G110" authorId="0" shapeId="0" xr:uid="{069CAB46-98C0-4D19-BBF1-8AB4E79F60A9}">
      <text>
        <r>
          <rPr>
            <b/>
            <sz val="8"/>
            <color indexed="81"/>
            <rFont val="Tahoma"/>
            <family val="2"/>
            <charset val="238"/>
          </rPr>
          <t>VLOŽ JEDNOTKOVOU CENU ZHOTOVITELE ZA POLOŽKU</t>
        </r>
        <r>
          <rPr>
            <sz val="8"/>
            <color indexed="81"/>
            <rFont val="Tahoma"/>
            <family val="2"/>
            <charset val="238"/>
          </rPr>
          <t xml:space="preserve">
</t>
        </r>
      </text>
    </comment>
    <comment ref="G112" authorId="0" shapeId="0" xr:uid="{4EE7E9FF-8729-44CA-BE36-38ED70F7C507}">
      <text>
        <r>
          <rPr>
            <b/>
            <sz val="8"/>
            <color indexed="81"/>
            <rFont val="Tahoma"/>
            <family val="2"/>
            <charset val="238"/>
          </rPr>
          <t>VLOŽ JEDNOTKOVOU CENU ZHOTOVITELE ZA POLOŽKU</t>
        </r>
        <r>
          <rPr>
            <sz val="8"/>
            <color indexed="81"/>
            <rFont val="Tahoma"/>
            <family val="2"/>
            <charset val="238"/>
          </rPr>
          <t xml:space="preserve">
</t>
        </r>
      </text>
    </comment>
    <comment ref="G114" authorId="0" shapeId="0" xr:uid="{8061E001-EDD5-47E8-B769-332FDF5AB2DD}">
      <text>
        <r>
          <rPr>
            <b/>
            <sz val="8"/>
            <color indexed="81"/>
            <rFont val="Tahoma"/>
            <family val="2"/>
            <charset val="238"/>
          </rPr>
          <t>VLOŽ JEDNOTKOVOU CENU ZHOTOVITELE ZA POLOŽKU</t>
        </r>
        <r>
          <rPr>
            <sz val="8"/>
            <color indexed="81"/>
            <rFont val="Tahoma"/>
            <family val="2"/>
            <charset val="238"/>
          </rPr>
          <t xml:space="preserve">
</t>
        </r>
      </text>
    </comment>
    <comment ref="G116" authorId="0" shapeId="0" xr:uid="{2D9B5537-A399-4F57-BC02-7EBE46545FC8}">
      <text>
        <r>
          <rPr>
            <b/>
            <sz val="8"/>
            <color indexed="81"/>
            <rFont val="Tahoma"/>
            <family val="2"/>
            <charset val="238"/>
          </rPr>
          <t>VLOŽ JEDNOTKOVOU CENU ZHOTOVITELE ZA POLOŽKU</t>
        </r>
        <r>
          <rPr>
            <sz val="8"/>
            <color indexed="81"/>
            <rFont val="Tahoma"/>
            <family val="2"/>
            <charset val="238"/>
          </rPr>
          <t xml:space="preserve">
</t>
        </r>
      </text>
    </comment>
    <comment ref="G118" authorId="0" shapeId="0" xr:uid="{7AE6B790-124F-4BE0-93C2-8DDCF11B68BE}">
      <text>
        <r>
          <rPr>
            <b/>
            <sz val="8"/>
            <color indexed="81"/>
            <rFont val="Tahoma"/>
            <family val="2"/>
            <charset val="238"/>
          </rPr>
          <t>VLOŽ JEDNOTKOVOU CENU ZHOTOVITELE ZA POLOŽKU</t>
        </r>
        <r>
          <rPr>
            <sz val="8"/>
            <color indexed="81"/>
            <rFont val="Tahoma"/>
            <family val="2"/>
            <charset val="238"/>
          </rPr>
          <t xml:space="preserve">
</t>
        </r>
      </text>
    </comment>
    <comment ref="G120" authorId="0" shapeId="0" xr:uid="{58643907-AFA7-4053-A0DE-8E5BE0E009D4}">
      <text>
        <r>
          <rPr>
            <b/>
            <sz val="8"/>
            <color indexed="81"/>
            <rFont val="Tahoma"/>
            <family val="2"/>
            <charset val="238"/>
          </rPr>
          <t>VLOŽ JEDNOTKOVOU CENU ZHOTOVITELE ZA POLOŽKU</t>
        </r>
        <r>
          <rPr>
            <sz val="8"/>
            <color indexed="81"/>
            <rFont val="Tahoma"/>
            <family val="2"/>
            <charset val="238"/>
          </rPr>
          <t xml:space="preserve">
</t>
        </r>
      </text>
    </comment>
    <comment ref="G122" authorId="0" shapeId="0" xr:uid="{27B20B12-83FA-42B4-90EC-248BC40D175D}">
      <text>
        <r>
          <rPr>
            <b/>
            <sz val="8"/>
            <color indexed="81"/>
            <rFont val="Tahoma"/>
            <family val="2"/>
            <charset val="238"/>
          </rPr>
          <t>VLOŽ JEDNOTKOVOU CENU ZHOTOVITELE ZA POLOŽKU</t>
        </r>
        <r>
          <rPr>
            <sz val="8"/>
            <color indexed="81"/>
            <rFont val="Tahoma"/>
            <family val="2"/>
            <charset val="238"/>
          </rPr>
          <t xml:space="preserve">
</t>
        </r>
      </text>
    </comment>
    <comment ref="G124" authorId="0" shapeId="0" xr:uid="{4572916A-849E-4FC6-B295-16BC5DACCA53}">
      <text>
        <r>
          <rPr>
            <b/>
            <sz val="8"/>
            <color indexed="81"/>
            <rFont val="Tahoma"/>
            <family val="2"/>
            <charset val="238"/>
          </rPr>
          <t>VLOŽ JEDNOTKOVOU CENU ZHOTOVITELE ZA POLOŽKU</t>
        </r>
        <r>
          <rPr>
            <sz val="8"/>
            <color indexed="81"/>
            <rFont val="Tahoma"/>
            <family val="2"/>
            <charset val="238"/>
          </rPr>
          <t xml:space="preserve">
</t>
        </r>
      </text>
    </comment>
    <comment ref="G127" authorId="0" shapeId="0" xr:uid="{D89B1ADF-5A25-4206-B725-0F80D7777147}">
      <text>
        <r>
          <rPr>
            <b/>
            <sz val="8"/>
            <color indexed="81"/>
            <rFont val="Tahoma"/>
            <family val="2"/>
            <charset val="238"/>
          </rPr>
          <t>VLOŽ JEDNOTKOVOU CENU ZHOTOVITELE ZA POLOŽKU</t>
        </r>
        <r>
          <rPr>
            <sz val="8"/>
            <color indexed="81"/>
            <rFont val="Tahoma"/>
            <family val="2"/>
            <charset val="238"/>
          </rPr>
          <t xml:space="preserve">
</t>
        </r>
      </text>
    </comment>
    <comment ref="G130" authorId="0" shapeId="0" xr:uid="{1416A0AE-1BD2-4767-A5D8-675324D49C50}">
      <text>
        <r>
          <rPr>
            <b/>
            <sz val="8"/>
            <color indexed="81"/>
            <rFont val="Tahoma"/>
            <family val="2"/>
            <charset val="238"/>
          </rPr>
          <t>VLOŽ JEDNOTKOVOU CENU ZHOTOVITELE ZA POLOŽKU</t>
        </r>
        <r>
          <rPr>
            <sz val="8"/>
            <color indexed="81"/>
            <rFont val="Tahoma"/>
            <family val="2"/>
            <charset val="238"/>
          </rPr>
          <t xml:space="preserve">
</t>
        </r>
      </text>
    </comment>
    <comment ref="G131" authorId="0" shapeId="0" xr:uid="{B85A3A2D-B4EA-434A-A9F2-A040246132BF}">
      <text>
        <r>
          <rPr>
            <b/>
            <sz val="8"/>
            <color indexed="81"/>
            <rFont val="Tahoma"/>
            <family val="2"/>
            <charset val="238"/>
          </rPr>
          <t>VLOŽ JEDNOTKOVOU CENU ZHOTOVITELE ZA POLOŽKU</t>
        </r>
        <r>
          <rPr>
            <sz val="8"/>
            <color indexed="81"/>
            <rFont val="Tahoma"/>
            <family val="2"/>
            <charset val="238"/>
          </rPr>
          <t xml:space="preserve">
</t>
        </r>
      </text>
    </comment>
    <comment ref="G133" authorId="0" shapeId="0" xr:uid="{B8B0CB76-C9A3-4F99-94CA-B6CF49650764}">
      <text>
        <r>
          <rPr>
            <b/>
            <sz val="8"/>
            <color indexed="81"/>
            <rFont val="Tahoma"/>
            <family val="2"/>
            <charset val="238"/>
          </rPr>
          <t>VLOŽ JEDNOTKOVOU CENU ZHOTOVITELE ZA POLOŽKU</t>
        </r>
        <r>
          <rPr>
            <sz val="8"/>
            <color indexed="81"/>
            <rFont val="Tahoma"/>
            <family val="2"/>
            <charset val="238"/>
          </rPr>
          <t xml:space="preserve">
</t>
        </r>
      </text>
    </comment>
    <comment ref="G135" authorId="0" shapeId="0" xr:uid="{636852FC-974A-4E0A-B0D5-D6FDA8EDE10B}">
      <text>
        <r>
          <rPr>
            <b/>
            <sz val="8"/>
            <color indexed="81"/>
            <rFont val="Tahoma"/>
            <family val="2"/>
            <charset val="238"/>
          </rPr>
          <t>VLOŽ JEDNOTKOVOU CENU ZHOTOVITELE ZA POLOŽKU</t>
        </r>
        <r>
          <rPr>
            <sz val="8"/>
            <color indexed="81"/>
            <rFont val="Tahoma"/>
            <family val="2"/>
            <charset val="238"/>
          </rPr>
          <t xml:space="preserve">
</t>
        </r>
      </text>
    </comment>
    <comment ref="G137" authorId="0" shapeId="0" xr:uid="{1B41068E-6212-4EC8-A580-EF3DD101550D}">
      <text>
        <r>
          <rPr>
            <b/>
            <sz val="8"/>
            <color indexed="81"/>
            <rFont val="Tahoma"/>
            <family val="2"/>
            <charset val="238"/>
          </rPr>
          <t>VLOŽ JEDNOTKOVOU CENU ZHOTOVITELE ZA POLOŽKU</t>
        </r>
        <r>
          <rPr>
            <sz val="8"/>
            <color indexed="81"/>
            <rFont val="Tahoma"/>
            <family val="2"/>
            <charset val="238"/>
          </rPr>
          <t xml:space="preserve">
</t>
        </r>
      </text>
    </comment>
    <comment ref="G138" authorId="0" shapeId="0" xr:uid="{9B9058BA-A7A3-454A-9E60-5AB816749C15}">
      <text>
        <r>
          <rPr>
            <b/>
            <sz val="8"/>
            <color indexed="81"/>
            <rFont val="Tahoma"/>
            <family val="2"/>
            <charset val="238"/>
          </rPr>
          <t>VLOŽ JEDNOTKOVOU CENU ZHOTOVITELE ZA POLOŽKU</t>
        </r>
        <r>
          <rPr>
            <sz val="8"/>
            <color indexed="81"/>
            <rFont val="Tahoma"/>
            <family val="2"/>
            <charset val="238"/>
          </rPr>
          <t xml:space="preserve">
</t>
        </r>
      </text>
    </comment>
    <comment ref="G139" authorId="0" shapeId="0" xr:uid="{66DA94DF-9472-4B38-931D-E7E291B37758}">
      <text>
        <r>
          <rPr>
            <b/>
            <sz val="8"/>
            <color indexed="81"/>
            <rFont val="Tahoma"/>
            <family val="2"/>
            <charset val="238"/>
          </rPr>
          <t>VLOŽ JEDNOTKOVOU CENU ZHOTOVITELE ZA POLOŽKU</t>
        </r>
        <r>
          <rPr>
            <sz val="8"/>
            <color indexed="81"/>
            <rFont val="Tahoma"/>
            <family val="2"/>
            <charset val="238"/>
          </rPr>
          <t xml:space="preserve">
</t>
        </r>
      </text>
    </comment>
    <comment ref="G141" authorId="0" shapeId="0" xr:uid="{DA8A236B-30A4-4090-9B0F-894FFEEEA83C}">
      <text>
        <r>
          <rPr>
            <b/>
            <sz val="8"/>
            <color indexed="81"/>
            <rFont val="Tahoma"/>
            <family val="2"/>
            <charset val="238"/>
          </rPr>
          <t>VLOŽ JEDNOTKOVOU CENU ZHOTOVITELE ZA POLOŽKU</t>
        </r>
        <r>
          <rPr>
            <sz val="8"/>
            <color indexed="81"/>
            <rFont val="Tahoma"/>
            <family val="2"/>
            <charset val="238"/>
          </rPr>
          <t xml:space="preserve">
</t>
        </r>
      </text>
    </comment>
    <comment ref="G143" authorId="0" shapeId="0" xr:uid="{F8B39ED7-7B98-44C1-9418-16946189D6F2}">
      <text>
        <r>
          <rPr>
            <b/>
            <sz val="8"/>
            <color indexed="81"/>
            <rFont val="Tahoma"/>
            <family val="2"/>
            <charset val="238"/>
          </rPr>
          <t>VLOŽ JEDNOTKOVOU CENU ZHOTOVITELE ZA POLOŽKU</t>
        </r>
        <r>
          <rPr>
            <sz val="8"/>
            <color indexed="81"/>
            <rFont val="Tahoma"/>
            <family val="2"/>
            <charset val="238"/>
          </rPr>
          <t xml:space="preserve">
</t>
        </r>
      </text>
    </comment>
    <comment ref="G145" authorId="0" shapeId="0" xr:uid="{F0E9F1EA-15EB-4104-83AD-7BBEC36098C2}">
      <text>
        <r>
          <rPr>
            <b/>
            <sz val="8"/>
            <color indexed="81"/>
            <rFont val="Tahoma"/>
            <family val="2"/>
            <charset val="238"/>
          </rPr>
          <t>VLOŽ JEDNOTKOVOU CENU ZHOTOVITELE ZA POLOŽKU</t>
        </r>
        <r>
          <rPr>
            <sz val="8"/>
            <color indexed="81"/>
            <rFont val="Tahoma"/>
            <family val="2"/>
            <charset val="238"/>
          </rPr>
          <t xml:space="preserve">
</t>
        </r>
      </text>
    </comment>
    <comment ref="G147" authorId="0" shapeId="0" xr:uid="{FFD40761-914B-415F-BA48-2BFB097413E5}">
      <text>
        <r>
          <rPr>
            <b/>
            <sz val="8"/>
            <color indexed="81"/>
            <rFont val="Tahoma"/>
            <family val="2"/>
            <charset val="238"/>
          </rPr>
          <t>VLOŽ JEDNOTKOVOU CENU ZHOTOVITELE ZA POLOŽKU</t>
        </r>
        <r>
          <rPr>
            <sz val="8"/>
            <color indexed="81"/>
            <rFont val="Tahoma"/>
            <family val="2"/>
            <charset val="238"/>
          </rPr>
          <t xml:space="preserve">
</t>
        </r>
      </text>
    </comment>
    <comment ref="G149" authorId="0" shapeId="0" xr:uid="{F5F29FEF-3BC0-4FD4-99AA-A0F0F20F3011}">
      <text>
        <r>
          <rPr>
            <b/>
            <sz val="8"/>
            <color indexed="81"/>
            <rFont val="Tahoma"/>
            <family val="2"/>
            <charset val="238"/>
          </rPr>
          <t>VLOŽ JEDNOTKOVOU CENU ZHOTOVITELE ZA POLOŽKU</t>
        </r>
        <r>
          <rPr>
            <sz val="8"/>
            <color indexed="81"/>
            <rFont val="Tahoma"/>
            <family val="2"/>
            <charset val="238"/>
          </rPr>
          <t xml:space="preserve">
</t>
        </r>
      </text>
    </comment>
    <comment ref="G151" authorId="0" shapeId="0" xr:uid="{A0914DDA-46E8-42A1-951A-31F86B22C27B}">
      <text>
        <r>
          <rPr>
            <b/>
            <sz val="8"/>
            <color indexed="81"/>
            <rFont val="Tahoma"/>
            <family val="2"/>
            <charset val="238"/>
          </rPr>
          <t>VLOŽ JEDNOTKOVOU CENU ZHOTOVITELE ZA POLOŽKU</t>
        </r>
        <r>
          <rPr>
            <sz val="8"/>
            <color indexed="81"/>
            <rFont val="Tahoma"/>
            <family val="2"/>
            <charset val="238"/>
          </rPr>
          <t xml:space="preserve">
</t>
        </r>
      </text>
    </comment>
    <comment ref="G153" authorId="0" shapeId="0" xr:uid="{4B760DC6-37D0-4AFE-AB6A-D7D34178DEAC}">
      <text>
        <r>
          <rPr>
            <b/>
            <sz val="8"/>
            <color indexed="81"/>
            <rFont val="Tahoma"/>
            <family val="2"/>
            <charset val="238"/>
          </rPr>
          <t>VLOŽ JEDNOTKOVOU CENU ZHOTOVITELE ZA POLOŽKU</t>
        </r>
        <r>
          <rPr>
            <sz val="8"/>
            <color indexed="81"/>
            <rFont val="Tahoma"/>
            <family val="2"/>
            <charset val="238"/>
          </rPr>
          <t xml:space="preserve">
</t>
        </r>
      </text>
    </comment>
    <comment ref="G155" authorId="0" shapeId="0" xr:uid="{F0E5E629-1D59-4E70-9C8D-5F206073EC3C}">
      <text>
        <r>
          <rPr>
            <b/>
            <sz val="8"/>
            <color indexed="81"/>
            <rFont val="Tahoma"/>
            <family val="2"/>
            <charset val="238"/>
          </rPr>
          <t>VLOŽ JEDNOTKOVOU CENU ZHOTOVITELE ZA POLOŽKU</t>
        </r>
        <r>
          <rPr>
            <sz val="8"/>
            <color indexed="81"/>
            <rFont val="Tahoma"/>
            <family val="2"/>
            <charset val="238"/>
          </rPr>
          <t xml:space="preserve">
</t>
        </r>
      </text>
    </comment>
    <comment ref="G157" authorId="0" shapeId="0" xr:uid="{A8A297B4-FCA5-4762-AB5C-1F8A38087611}">
      <text>
        <r>
          <rPr>
            <b/>
            <sz val="8"/>
            <color indexed="81"/>
            <rFont val="Tahoma"/>
            <family val="2"/>
            <charset val="238"/>
          </rPr>
          <t>VLOŽ JEDNOTKOVOU CENU ZHOTOVITELE ZA POLOŽKU</t>
        </r>
        <r>
          <rPr>
            <sz val="8"/>
            <color indexed="81"/>
            <rFont val="Tahoma"/>
            <family val="2"/>
            <charset val="238"/>
          </rPr>
          <t xml:space="preserve">
</t>
        </r>
      </text>
    </comment>
    <comment ref="G159" authorId="0" shapeId="0" xr:uid="{06E8A957-BB50-4AC2-9981-B90657EB0D26}">
      <text>
        <r>
          <rPr>
            <b/>
            <sz val="8"/>
            <color indexed="81"/>
            <rFont val="Tahoma"/>
            <family val="2"/>
            <charset val="238"/>
          </rPr>
          <t>VLOŽ JEDNOTKOVOU CENU ZHOTOVITELE ZA POLOŽKU</t>
        </r>
        <r>
          <rPr>
            <sz val="8"/>
            <color indexed="81"/>
            <rFont val="Tahoma"/>
            <family val="2"/>
            <charset val="238"/>
          </rPr>
          <t xml:space="preserve">
</t>
        </r>
      </text>
    </comment>
    <comment ref="G160" authorId="0" shapeId="0" xr:uid="{A3D8E666-F269-4847-9569-461099187434}">
      <text>
        <r>
          <rPr>
            <b/>
            <sz val="8"/>
            <color indexed="81"/>
            <rFont val="Tahoma"/>
            <family val="2"/>
            <charset val="238"/>
          </rPr>
          <t>VLOŽ JEDNOTKOVOU CENU ZHOTOVITELE ZA POLOŽKU</t>
        </r>
        <r>
          <rPr>
            <sz val="8"/>
            <color indexed="81"/>
            <rFont val="Tahoma"/>
            <family val="2"/>
            <charset val="238"/>
          </rPr>
          <t xml:space="preserve">
</t>
        </r>
      </text>
    </comment>
    <comment ref="G161" authorId="0" shapeId="0" xr:uid="{F3D2526F-25B9-45D2-834A-3847752ECE9C}">
      <text>
        <r>
          <rPr>
            <b/>
            <sz val="8"/>
            <color indexed="81"/>
            <rFont val="Tahoma"/>
            <family val="2"/>
            <charset val="238"/>
          </rPr>
          <t>VLOŽ JEDNOTKOVOU CENU ZHOTOVITELE ZA POLOŽKU</t>
        </r>
        <r>
          <rPr>
            <sz val="8"/>
            <color indexed="81"/>
            <rFont val="Tahoma"/>
            <family val="2"/>
            <charset val="238"/>
          </rPr>
          <t xml:space="preserve">
</t>
        </r>
      </text>
    </comment>
    <comment ref="G162" authorId="0" shapeId="0" xr:uid="{259840D7-ACDD-4DE0-921A-201DC22EDD6E}">
      <text>
        <r>
          <rPr>
            <b/>
            <sz val="8"/>
            <color indexed="81"/>
            <rFont val="Tahoma"/>
            <family val="2"/>
            <charset val="238"/>
          </rPr>
          <t>VLOŽ JEDNOTKOVOU CENU ZHOTOVITELE ZA POLOŽKU</t>
        </r>
        <r>
          <rPr>
            <sz val="8"/>
            <color indexed="81"/>
            <rFont val="Tahoma"/>
            <family val="2"/>
            <charset val="238"/>
          </rPr>
          <t xml:space="preserve">
</t>
        </r>
      </text>
    </comment>
    <comment ref="G163" authorId="0" shapeId="0" xr:uid="{8C01FC90-7A10-4F90-8479-EBD8142DBC65}">
      <text>
        <r>
          <rPr>
            <b/>
            <sz val="8"/>
            <color indexed="81"/>
            <rFont val="Tahoma"/>
            <family val="2"/>
            <charset val="238"/>
          </rPr>
          <t>VLOŽ JEDNOTKOVOU CENU ZHOTOVITELE ZA POLOŽKU</t>
        </r>
        <r>
          <rPr>
            <sz val="8"/>
            <color indexed="81"/>
            <rFont val="Tahoma"/>
            <family val="2"/>
            <charset val="238"/>
          </rPr>
          <t xml:space="preserve">
</t>
        </r>
      </text>
    </comment>
    <comment ref="G164" authorId="0" shapeId="0" xr:uid="{41E761BE-4D4A-414F-B60A-5087A731E9EE}">
      <text>
        <r>
          <rPr>
            <b/>
            <sz val="8"/>
            <color indexed="81"/>
            <rFont val="Tahoma"/>
            <family val="2"/>
            <charset val="238"/>
          </rPr>
          <t>VLOŽ JEDNOTKOVOU CENU ZHOTOVITELE ZA POLOŽKU</t>
        </r>
        <r>
          <rPr>
            <sz val="8"/>
            <color indexed="81"/>
            <rFont val="Tahoma"/>
            <family val="2"/>
            <charset val="238"/>
          </rPr>
          <t xml:space="preserve">
</t>
        </r>
      </text>
    </comment>
    <comment ref="G165" authorId="0" shapeId="0" xr:uid="{82D0E37B-0D50-46DB-A365-A907598920C2}">
      <text>
        <r>
          <rPr>
            <b/>
            <sz val="8"/>
            <color indexed="81"/>
            <rFont val="Tahoma"/>
            <family val="2"/>
            <charset val="238"/>
          </rPr>
          <t>VLOŽ JEDNOTKOVOU CENU ZHOTOVITELE ZA POLOŽKU</t>
        </r>
        <r>
          <rPr>
            <sz val="8"/>
            <color indexed="81"/>
            <rFont val="Tahoma"/>
            <family val="2"/>
            <charset val="238"/>
          </rPr>
          <t xml:space="preserve">
</t>
        </r>
      </text>
    </comment>
    <comment ref="G167" authorId="0" shapeId="0" xr:uid="{1762AA0B-5D13-49E1-8B91-81133D637367}">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Vladimír klička</author>
  </authors>
  <commentList>
    <comment ref="G13" authorId="0" shapeId="0" xr:uid="{CA090381-6001-436E-9FF6-0A05B76586AB}">
      <text>
        <r>
          <rPr>
            <b/>
            <sz val="8"/>
            <color indexed="81"/>
            <rFont val="Tahoma"/>
            <family val="2"/>
            <charset val="238"/>
          </rPr>
          <t>VLOŽ JEDNOTKOVOU CENU ZHOTOVITELE ZA POLOŽKU</t>
        </r>
        <r>
          <rPr>
            <sz val="8"/>
            <color indexed="81"/>
            <rFont val="Tahoma"/>
            <family val="2"/>
            <charset val="238"/>
          </rPr>
          <t xml:space="preserve">
</t>
        </r>
      </text>
    </comment>
    <comment ref="G15" authorId="0" shapeId="0" xr:uid="{85944C00-7E5F-4FD5-918E-FA70E9983B44}">
      <text>
        <r>
          <rPr>
            <b/>
            <sz val="8"/>
            <color indexed="81"/>
            <rFont val="Tahoma"/>
            <family val="2"/>
            <charset val="238"/>
          </rPr>
          <t>VLOŽ JEDNOTKOVOU CENU ZHOTOVITELE ZA POLOŽKU</t>
        </r>
        <r>
          <rPr>
            <sz val="8"/>
            <color indexed="81"/>
            <rFont val="Tahoma"/>
            <family val="2"/>
            <charset val="238"/>
          </rPr>
          <t xml:space="preserve">
</t>
        </r>
      </text>
    </comment>
    <comment ref="G17" authorId="0" shapeId="0" xr:uid="{E0878DAD-22E1-41BC-A0F1-8B561797B7D9}">
      <text>
        <r>
          <rPr>
            <b/>
            <sz val="8"/>
            <color indexed="81"/>
            <rFont val="Tahoma"/>
            <family val="2"/>
            <charset val="238"/>
          </rPr>
          <t>VLOŽ JEDNOTKOVOU CENU ZHOTOVITELE ZA POLOŽKU</t>
        </r>
        <r>
          <rPr>
            <sz val="8"/>
            <color indexed="81"/>
            <rFont val="Tahoma"/>
            <family val="2"/>
            <charset val="238"/>
          </rPr>
          <t xml:space="preserve">
</t>
        </r>
      </text>
    </comment>
    <comment ref="G19" authorId="0" shapeId="0" xr:uid="{B6A37B9B-B523-4AB1-8DCA-DEA29E6263AA}">
      <text>
        <r>
          <rPr>
            <b/>
            <sz val="8"/>
            <color indexed="81"/>
            <rFont val="Tahoma"/>
            <family val="2"/>
            <charset val="238"/>
          </rPr>
          <t>VLOŽ JEDNOTKOVOU CENU ZHOTOVITELE ZA POLOŽKU</t>
        </r>
        <r>
          <rPr>
            <sz val="8"/>
            <color indexed="81"/>
            <rFont val="Tahoma"/>
            <family val="2"/>
            <charset val="238"/>
          </rPr>
          <t xml:space="preserve">
</t>
        </r>
      </text>
    </comment>
    <comment ref="G22" authorId="0" shapeId="0" xr:uid="{592699A6-58E8-47BC-8CC1-B605E5BF14C3}">
      <text>
        <r>
          <rPr>
            <b/>
            <sz val="8"/>
            <color indexed="81"/>
            <rFont val="Tahoma"/>
            <family val="2"/>
            <charset val="238"/>
          </rPr>
          <t>VLOŽ JEDNOTKOVOU CENU ZHOTOVITELE ZA POLOŽKU</t>
        </r>
        <r>
          <rPr>
            <sz val="8"/>
            <color indexed="81"/>
            <rFont val="Tahoma"/>
            <family val="2"/>
            <charset val="238"/>
          </rPr>
          <t xml:space="preserve">
</t>
        </r>
      </text>
    </comment>
    <comment ref="G24" authorId="0" shapeId="0" xr:uid="{3C2A310F-1653-4591-BA3E-B2338F854C4B}">
      <text>
        <r>
          <rPr>
            <b/>
            <sz val="8"/>
            <color indexed="81"/>
            <rFont val="Tahoma"/>
            <family val="2"/>
            <charset val="238"/>
          </rPr>
          <t>VLOŽ JEDNOTKOVOU CENU ZHOTOVITELE ZA POLOŽKU</t>
        </r>
        <r>
          <rPr>
            <sz val="8"/>
            <color indexed="81"/>
            <rFont val="Tahoma"/>
            <family val="2"/>
            <charset val="238"/>
          </rPr>
          <t xml:space="preserve">
</t>
        </r>
      </text>
    </comment>
    <comment ref="G26" authorId="0" shapeId="0" xr:uid="{56109EDB-CCFD-4CD9-8D51-C2C7260A17A3}">
      <text>
        <r>
          <rPr>
            <b/>
            <sz val="8"/>
            <color indexed="81"/>
            <rFont val="Tahoma"/>
            <family val="2"/>
            <charset val="238"/>
          </rPr>
          <t>VLOŽ JEDNOTKOVOU CENU ZHOTOVITELE ZA POLOŽKU</t>
        </r>
        <r>
          <rPr>
            <sz val="8"/>
            <color indexed="81"/>
            <rFont val="Tahoma"/>
            <family val="2"/>
            <charset val="238"/>
          </rPr>
          <t xml:space="preserve">
</t>
        </r>
      </text>
    </comment>
    <comment ref="G28" authorId="0" shapeId="0" xr:uid="{B5439CFC-42DC-4247-B81B-DFDE7B9EDFA7}">
      <text>
        <r>
          <rPr>
            <b/>
            <sz val="8"/>
            <color indexed="81"/>
            <rFont val="Tahoma"/>
            <family val="2"/>
            <charset val="238"/>
          </rPr>
          <t>VLOŽ JEDNOTKOVOU CENU ZHOTOVITELE ZA POLOŽKU</t>
        </r>
        <r>
          <rPr>
            <sz val="8"/>
            <color indexed="81"/>
            <rFont val="Tahoma"/>
            <family val="2"/>
            <charset val="238"/>
          </rPr>
          <t xml:space="preserve">
</t>
        </r>
      </text>
    </comment>
    <comment ref="G30" authorId="0" shapeId="0" xr:uid="{87C791BE-72F4-4768-BF5B-95B2839548DD}">
      <text>
        <r>
          <rPr>
            <b/>
            <sz val="8"/>
            <color indexed="81"/>
            <rFont val="Tahoma"/>
            <family val="2"/>
            <charset val="238"/>
          </rPr>
          <t>VLOŽ JEDNOTKOVOU CENU ZHOTOVITELE ZA POLOŽKU</t>
        </r>
        <r>
          <rPr>
            <sz val="8"/>
            <color indexed="81"/>
            <rFont val="Tahoma"/>
            <family val="2"/>
            <charset val="238"/>
          </rPr>
          <t xml:space="preserve">
</t>
        </r>
      </text>
    </comment>
    <comment ref="G32" authorId="0" shapeId="0" xr:uid="{F778D1FE-671E-4572-8A85-CFD8FA03B828}">
      <text>
        <r>
          <rPr>
            <b/>
            <sz val="8"/>
            <color indexed="81"/>
            <rFont val="Tahoma"/>
            <family val="2"/>
            <charset val="238"/>
          </rPr>
          <t>VLOŽ JEDNOTKOVOU CENU ZHOTOVITELE ZA POLOŽKU</t>
        </r>
        <r>
          <rPr>
            <sz val="8"/>
            <color indexed="81"/>
            <rFont val="Tahoma"/>
            <family val="2"/>
            <charset val="238"/>
          </rPr>
          <t xml:space="preserve">
</t>
        </r>
      </text>
    </comment>
    <comment ref="G35" authorId="0" shapeId="0" xr:uid="{3618544F-6C1A-4465-B161-30CB2282BF06}">
      <text>
        <r>
          <rPr>
            <b/>
            <sz val="8"/>
            <color indexed="81"/>
            <rFont val="Tahoma"/>
            <family val="2"/>
            <charset val="238"/>
          </rPr>
          <t>VLOŽ JEDNOTKOVOU CENU ZHOTOVITELE ZA POLOŽKU</t>
        </r>
        <r>
          <rPr>
            <sz val="8"/>
            <color indexed="81"/>
            <rFont val="Tahoma"/>
            <family val="2"/>
            <charset val="238"/>
          </rPr>
          <t xml:space="preserve">
</t>
        </r>
      </text>
    </comment>
    <comment ref="G37" authorId="0" shapeId="0" xr:uid="{5CDA42F3-11D6-4565-8499-77155570135B}">
      <text>
        <r>
          <rPr>
            <b/>
            <sz val="8"/>
            <color indexed="81"/>
            <rFont val="Tahoma"/>
            <family val="2"/>
            <charset val="238"/>
          </rPr>
          <t>VLOŽ JEDNOTKOVOU CENU ZHOTOVITELE ZA POLOŽKU</t>
        </r>
        <r>
          <rPr>
            <sz val="8"/>
            <color indexed="81"/>
            <rFont val="Tahoma"/>
            <family val="2"/>
            <charset val="238"/>
          </rPr>
          <t xml:space="preserve">
</t>
        </r>
      </text>
    </comment>
    <comment ref="G40" authorId="0" shapeId="0" xr:uid="{2CA5BDBA-692E-41C5-9065-595E99A87C01}">
      <text>
        <r>
          <rPr>
            <b/>
            <sz val="8"/>
            <color indexed="81"/>
            <rFont val="Tahoma"/>
            <family val="2"/>
            <charset val="238"/>
          </rPr>
          <t>VLOŽ JEDNOTKOVOU CENU ZHOTOVITELE ZA POLOŽKU</t>
        </r>
        <r>
          <rPr>
            <sz val="8"/>
            <color indexed="81"/>
            <rFont val="Tahoma"/>
            <family val="2"/>
            <charset val="238"/>
          </rPr>
          <t xml:space="preserve">
</t>
        </r>
      </text>
    </comment>
    <comment ref="G42" authorId="0" shapeId="0" xr:uid="{2D45E597-391E-402B-A10F-5358BB5DD1CF}">
      <text>
        <r>
          <rPr>
            <b/>
            <sz val="8"/>
            <color indexed="81"/>
            <rFont val="Tahoma"/>
            <family val="2"/>
            <charset val="238"/>
          </rPr>
          <t>VLOŽ JEDNOTKOVOU CENU ZHOTOVITELE ZA POLOŽKU</t>
        </r>
        <r>
          <rPr>
            <sz val="8"/>
            <color indexed="81"/>
            <rFont val="Tahoma"/>
            <family val="2"/>
            <charset val="238"/>
          </rPr>
          <t xml:space="preserve">
</t>
        </r>
      </text>
    </comment>
    <comment ref="G44" authorId="0" shapeId="0" xr:uid="{31B79C05-ADC5-4A88-BD9C-9EE9BEFCED61}">
      <text>
        <r>
          <rPr>
            <b/>
            <sz val="8"/>
            <color indexed="81"/>
            <rFont val="Tahoma"/>
            <family val="2"/>
            <charset val="238"/>
          </rPr>
          <t>VLOŽ JEDNOTKOVOU CENU ZHOTOVITELE ZA POLOŽKU</t>
        </r>
        <r>
          <rPr>
            <sz val="8"/>
            <color indexed="81"/>
            <rFont val="Tahoma"/>
            <family val="2"/>
            <charset val="238"/>
          </rPr>
          <t xml:space="preserve">
</t>
        </r>
      </text>
    </comment>
    <comment ref="G46" authorId="0" shapeId="0" xr:uid="{572F6A69-8BBB-49CB-BCA0-A2E299F6E29F}">
      <text>
        <r>
          <rPr>
            <b/>
            <sz val="8"/>
            <color indexed="81"/>
            <rFont val="Tahoma"/>
            <family val="2"/>
            <charset val="238"/>
          </rPr>
          <t>VLOŽ JEDNOTKOVOU CENU ZHOTOVITELE ZA POLOŽKU</t>
        </r>
        <r>
          <rPr>
            <sz val="8"/>
            <color indexed="81"/>
            <rFont val="Tahoma"/>
            <family val="2"/>
            <charset val="238"/>
          </rPr>
          <t xml:space="preserve">
</t>
        </r>
      </text>
    </comment>
    <comment ref="G48" authorId="0" shapeId="0" xr:uid="{057774D9-AB8F-4216-85F8-1FAF32AF7263}">
      <text>
        <r>
          <rPr>
            <b/>
            <sz val="8"/>
            <color indexed="81"/>
            <rFont val="Tahoma"/>
            <family val="2"/>
            <charset val="238"/>
          </rPr>
          <t>VLOŽ JEDNOTKOVOU CENU ZHOTOVITELE ZA POLOŽKU</t>
        </r>
        <r>
          <rPr>
            <sz val="8"/>
            <color indexed="81"/>
            <rFont val="Tahoma"/>
            <family val="2"/>
            <charset val="238"/>
          </rPr>
          <t xml:space="preserve">
</t>
        </r>
      </text>
    </comment>
    <comment ref="G50" authorId="0" shapeId="0" xr:uid="{25848F17-52F8-45BB-9ABC-8AA4885E483E}">
      <text>
        <r>
          <rPr>
            <b/>
            <sz val="8"/>
            <color indexed="81"/>
            <rFont val="Tahoma"/>
            <family val="2"/>
            <charset val="238"/>
          </rPr>
          <t>VLOŽ JEDNOTKOVOU CENU ZHOTOVITELE ZA POLOŽKU</t>
        </r>
        <r>
          <rPr>
            <sz val="8"/>
            <color indexed="81"/>
            <rFont val="Tahoma"/>
            <family val="2"/>
            <charset val="238"/>
          </rPr>
          <t xml:space="preserve">
</t>
        </r>
      </text>
    </comment>
    <comment ref="G53" authorId="0" shapeId="0" xr:uid="{CE1C1087-DD24-4101-9E9D-FE9EEC686B3B}">
      <text>
        <r>
          <rPr>
            <b/>
            <sz val="8"/>
            <color indexed="81"/>
            <rFont val="Tahoma"/>
            <family val="2"/>
            <charset val="238"/>
          </rPr>
          <t>VLOŽ JEDNOTKOVOU CENU ZHOTOVITELE ZA POLOŽKU</t>
        </r>
        <r>
          <rPr>
            <sz val="8"/>
            <color indexed="81"/>
            <rFont val="Tahoma"/>
            <family val="2"/>
            <charset val="238"/>
          </rPr>
          <t xml:space="preserve">
</t>
        </r>
      </text>
    </comment>
    <comment ref="G55" authorId="0" shapeId="0" xr:uid="{1B0F6049-54C2-4FF5-B299-83468E86E227}">
      <text>
        <r>
          <rPr>
            <b/>
            <sz val="8"/>
            <color indexed="81"/>
            <rFont val="Tahoma"/>
            <family val="2"/>
            <charset val="238"/>
          </rPr>
          <t>VLOŽ JEDNOTKOVOU CENU ZHOTOVITELE ZA POLOŽKU</t>
        </r>
        <r>
          <rPr>
            <sz val="8"/>
            <color indexed="81"/>
            <rFont val="Tahoma"/>
            <family val="2"/>
            <charset val="238"/>
          </rPr>
          <t xml:space="preserve">
</t>
        </r>
      </text>
    </comment>
    <comment ref="G57" authorId="0" shapeId="0" xr:uid="{FA98595E-47DE-4E5A-91A2-FDCB458DA1BE}">
      <text>
        <r>
          <rPr>
            <b/>
            <sz val="8"/>
            <color indexed="81"/>
            <rFont val="Tahoma"/>
            <family val="2"/>
            <charset val="238"/>
          </rPr>
          <t>VLOŽ JEDNOTKOVOU CENU ZHOTOVITELE ZA POLOŽKU</t>
        </r>
        <r>
          <rPr>
            <sz val="8"/>
            <color indexed="81"/>
            <rFont val="Tahoma"/>
            <family val="2"/>
            <charset val="238"/>
          </rPr>
          <t xml:space="preserve">
</t>
        </r>
      </text>
    </comment>
    <comment ref="G60" authorId="0" shapeId="0" xr:uid="{E3498B38-A2B1-4660-8B8B-5DA618334AE0}">
      <text>
        <r>
          <rPr>
            <b/>
            <sz val="8"/>
            <color indexed="81"/>
            <rFont val="Tahoma"/>
            <family val="2"/>
            <charset val="238"/>
          </rPr>
          <t>VLOŽ JEDNOTKOVOU CENU ZHOTOVITELE ZA POLOŽKU</t>
        </r>
        <r>
          <rPr>
            <sz val="8"/>
            <color indexed="81"/>
            <rFont val="Tahoma"/>
            <family val="2"/>
            <charset val="238"/>
          </rPr>
          <t xml:space="preserve">
</t>
        </r>
      </text>
    </comment>
    <comment ref="G62" authorId="0" shapeId="0" xr:uid="{6F6E0CCF-9B27-4CFB-89AF-C882C6F42AF1}">
      <text>
        <r>
          <rPr>
            <b/>
            <sz val="8"/>
            <color indexed="81"/>
            <rFont val="Tahoma"/>
            <family val="2"/>
            <charset val="238"/>
          </rPr>
          <t>VLOŽ JEDNOTKOVOU CENU ZHOTOVITELE ZA POLOŽKU</t>
        </r>
        <r>
          <rPr>
            <sz val="8"/>
            <color indexed="81"/>
            <rFont val="Tahoma"/>
            <family val="2"/>
            <charset val="238"/>
          </rPr>
          <t xml:space="preserve">
</t>
        </r>
      </text>
    </comment>
    <comment ref="G65" authorId="0" shapeId="0" xr:uid="{DC066003-1D44-410B-B593-48525F467A33}">
      <text>
        <r>
          <rPr>
            <b/>
            <sz val="8"/>
            <color indexed="81"/>
            <rFont val="Tahoma"/>
            <family val="2"/>
            <charset val="238"/>
          </rPr>
          <t>VLOŽ JEDNOTKOVOU CENU ZHOTOVITELE ZA POLOŽKU</t>
        </r>
        <r>
          <rPr>
            <sz val="8"/>
            <color indexed="81"/>
            <rFont val="Tahoma"/>
            <family val="2"/>
            <charset val="238"/>
          </rPr>
          <t xml:space="preserve">
</t>
        </r>
      </text>
    </comment>
    <comment ref="G68" authorId="0" shapeId="0" xr:uid="{4BB9B0A4-FB1E-43A8-8CA5-4168FB8E6E7D}">
      <text>
        <r>
          <rPr>
            <b/>
            <sz val="8"/>
            <color indexed="81"/>
            <rFont val="Tahoma"/>
            <family val="2"/>
            <charset val="238"/>
          </rPr>
          <t>VLOŽ JEDNOTKOVOU CENU ZHOTOVITELE ZA POLOŽKU</t>
        </r>
        <r>
          <rPr>
            <sz val="8"/>
            <color indexed="81"/>
            <rFont val="Tahoma"/>
            <family val="2"/>
            <charset val="238"/>
          </rPr>
          <t xml:space="preserve">
</t>
        </r>
      </text>
    </comment>
    <comment ref="G71" authorId="0" shapeId="0" xr:uid="{8CEF3545-5BCC-43BE-920D-B6C7D45B17FD}">
      <text>
        <r>
          <rPr>
            <b/>
            <sz val="8"/>
            <color indexed="81"/>
            <rFont val="Tahoma"/>
            <family val="2"/>
            <charset val="238"/>
          </rPr>
          <t>VLOŽ JEDNOTKOVOU CENU ZHOTOVITELE ZA POLOŽKU</t>
        </r>
        <r>
          <rPr>
            <sz val="8"/>
            <color indexed="81"/>
            <rFont val="Tahoma"/>
            <family val="2"/>
            <charset val="238"/>
          </rPr>
          <t xml:space="preserve">
</t>
        </r>
      </text>
    </comment>
    <comment ref="G74" authorId="0" shapeId="0" xr:uid="{E43609B0-2A56-46D0-B5B1-9FB7369A5449}">
      <text>
        <r>
          <rPr>
            <b/>
            <sz val="8"/>
            <color indexed="81"/>
            <rFont val="Tahoma"/>
            <family val="2"/>
            <charset val="238"/>
          </rPr>
          <t>VLOŽ JEDNOTKOVOU CENU ZHOTOVITELE ZA POLOŽKU</t>
        </r>
        <r>
          <rPr>
            <sz val="8"/>
            <color indexed="81"/>
            <rFont val="Tahoma"/>
            <family val="2"/>
            <charset val="238"/>
          </rPr>
          <t xml:space="preserve">
</t>
        </r>
      </text>
    </comment>
    <comment ref="G76" authorId="0" shapeId="0" xr:uid="{277F701E-139C-4257-9EB2-13DE07754FA3}">
      <text>
        <r>
          <rPr>
            <b/>
            <sz val="8"/>
            <color indexed="81"/>
            <rFont val="Tahoma"/>
            <family val="2"/>
            <charset val="238"/>
          </rPr>
          <t>VLOŽ JEDNOTKOVOU CENU ZHOTOVITELE ZA POLOŽKU</t>
        </r>
        <r>
          <rPr>
            <sz val="8"/>
            <color indexed="81"/>
            <rFont val="Tahoma"/>
            <family val="2"/>
            <charset val="238"/>
          </rPr>
          <t xml:space="preserve">
</t>
        </r>
      </text>
    </comment>
    <comment ref="G78" authorId="0" shapeId="0" xr:uid="{AAA95715-D325-40D8-B302-49F1A1B3CCB7}">
      <text>
        <r>
          <rPr>
            <b/>
            <sz val="8"/>
            <color indexed="81"/>
            <rFont val="Tahoma"/>
            <family val="2"/>
            <charset val="238"/>
          </rPr>
          <t>VLOŽ JEDNOTKOVOU CENU ZHOTOVITELE ZA POLOŽKU</t>
        </r>
        <r>
          <rPr>
            <sz val="8"/>
            <color indexed="81"/>
            <rFont val="Tahoma"/>
            <family val="2"/>
            <charset val="238"/>
          </rPr>
          <t xml:space="preserve">
</t>
        </r>
      </text>
    </comment>
    <comment ref="G80" authorId="0" shapeId="0" xr:uid="{B14E72B2-E088-47E8-9321-F1E12F4C2614}">
      <text>
        <r>
          <rPr>
            <b/>
            <sz val="8"/>
            <color indexed="81"/>
            <rFont val="Tahoma"/>
            <family val="2"/>
            <charset val="238"/>
          </rPr>
          <t>VLOŽ JEDNOTKOVOU CENU ZHOTOVITELE ZA POLOŽKU</t>
        </r>
        <r>
          <rPr>
            <sz val="8"/>
            <color indexed="81"/>
            <rFont val="Tahoma"/>
            <family val="2"/>
            <charset val="238"/>
          </rPr>
          <t xml:space="preserve">
</t>
        </r>
      </text>
    </comment>
    <comment ref="G83" authorId="0" shapeId="0" xr:uid="{0062FFBF-AB42-415F-BD9E-7BC62495C560}">
      <text>
        <r>
          <rPr>
            <b/>
            <sz val="8"/>
            <color indexed="81"/>
            <rFont val="Tahoma"/>
            <family val="2"/>
            <charset val="238"/>
          </rPr>
          <t>VLOŽ JEDNOTKOVOU CENU ZHOTOVITELE ZA POLOŽKU</t>
        </r>
        <r>
          <rPr>
            <sz val="8"/>
            <color indexed="81"/>
            <rFont val="Tahoma"/>
            <family val="2"/>
            <charset val="238"/>
          </rPr>
          <t xml:space="preserve">
</t>
        </r>
      </text>
    </comment>
    <comment ref="G86" authorId="0" shapeId="0" xr:uid="{D067B78C-1D53-44E4-8FFF-2EBD6077570E}">
      <text>
        <r>
          <rPr>
            <b/>
            <sz val="8"/>
            <color indexed="81"/>
            <rFont val="Tahoma"/>
            <family val="2"/>
            <charset val="238"/>
          </rPr>
          <t>VLOŽ JEDNOTKOVOU CENU ZHOTOVITELE ZA POLOŽKU</t>
        </r>
        <r>
          <rPr>
            <sz val="8"/>
            <color indexed="81"/>
            <rFont val="Tahoma"/>
            <family val="2"/>
            <charset val="238"/>
          </rPr>
          <t xml:space="preserve">
</t>
        </r>
      </text>
    </comment>
    <comment ref="G89" authorId="0" shapeId="0" xr:uid="{D63A278C-377F-4069-ACC7-19D750B005F0}">
      <text>
        <r>
          <rPr>
            <b/>
            <sz val="8"/>
            <color indexed="81"/>
            <rFont val="Tahoma"/>
            <family val="2"/>
            <charset val="238"/>
          </rPr>
          <t>VLOŽ JEDNOTKOVOU CENU ZHOTOVITELE ZA POLOŽKU</t>
        </r>
        <r>
          <rPr>
            <sz val="8"/>
            <color indexed="81"/>
            <rFont val="Tahoma"/>
            <family val="2"/>
            <charset val="238"/>
          </rPr>
          <t xml:space="preserve">
</t>
        </r>
      </text>
    </comment>
    <comment ref="G92" authorId="0" shapeId="0" xr:uid="{1F1FDC80-70A5-4660-B28A-BF75D96F62C5}">
      <text>
        <r>
          <rPr>
            <b/>
            <sz val="8"/>
            <color indexed="81"/>
            <rFont val="Tahoma"/>
            <family val="2"/>
            <charset val="238"/>
          </rPr>
          <t>VLOŽ JEDNOTKOVOU CENU ZHOTOVITELE ZA POLOŽKU</t>
        </r>
        <r>
          <rPr>
            <sz val="8"/>
            <color indexed="81"/>
            <rFont val="Tahoma"/>
            <family val="2"/>
            <charset val="238"/>
          </rPr>
          <t xml:space="preserve">
</t>
        </r>
      </text>
    </comment>
    <comment ref="G93" authorId="0" shapeId="0" xr:uid="{B5CA321C-E0A1-417D-AE6A-F2847D1C2C66}">
      <text>
        <r>
          <rPr>
            <b/>
            <sz val="8"/>
            <color indexed="81"/>
            <rFont val="Tahoma"/>
            <family val="2"/>
            <charset val="238"/>
          </rPr>
          <t>VLOŽ JEDNOTKOVOU CENU ZHOTOVITELE ZA POLOŽKU</t>
        </r>
        <r>
          <rPr>
            <sz val="8"/>
            <color indexed="81"/>
            <rFont val="Tahoma"/>
            <family val="2"/>
            <charset val="238"/>
          </rPr>
          <t xml:space="preserve">
</t>
        </r>
      </text>
    </comment>
    <comment ref="G95" authorId="0" shapeId="0" xr:uid="{1C43F385-2815-44C9-AE3B-10AFDCB5170D}">
      <text>
        <r>
          <rPr>
            <b/>
            <sz val="8"/>
            <color indexed="81"/>
            <rFont val="Tahoma"/>
            <family val="2"/>
            <charset val="238"/>
          </rPr>
          <t>VLOŽ JEDNOTKOVOU CENU ZHOTOVITELE ZA POLOŽKU</t>
        </r>
        <r>
          <rPr>
            <sz val="8"/>
            <color indexed="81"/>
            <rFont val="Tahoma"/>
            <family val="2"/>
            <charset val="238"/>
          </rPr>
          <t xml:space="preserve">
</t>
        </r>
      </text>
    </comment>
    <comment ref="G98" authorId="0" shapeId="0" xr:uid="{B1D3AAC8-4A14-4F48-826F-579A06EC873B}">
      <text>
        <r>
          <rPr>
            <b/>
            <sz val="8"/>
            <color indexed="81"/>
            <rFont val="Tahoma"/>
            <family val="2"/>
            <charset val="238"/>
          </rPr>
          <t>VLOŽ JEDNOTKOVOU CENU ZHOTOVITELE ZA POLOŽKU</t>
        </r>
        <r>
          <rPr>
            <sz val="8"/>
            <color indexed="81"/>
            <rFont val="Tahoma"/>
            <family val="2"/>
            <charset val="238"/>
          </rPr>
          <t xml:space="preserve">
</t>
        </r>
      </text>
    </comment>
    <comment ref="G99" authorId="0" shapeId="0" xr:uid="{2D447342-B40F-443E-BE1B-B5793E83AC4E}">
      <text>
        <r>
          <rPr>
            <b/>
            <sz val="8"/>
            <color indexed="81"/>
            <rFont val="Tahoma"/>
            <family val="2"/>
            <charset val="238"/>
          </rPr>
          <t>VLOŽ JEDNOTKOVOU CENU ZHOTOVITELE ZA POLOŽKU</t>
        </r>
        <r>
          <rPr>
            <sz val="8"/>
            <color indexed="81"/>
            <rFont val="Tahoma"/>
            <family val="2"/>
            <charset val="238"/>
          </rPr>
          <t xml:space="preserve">
</t>
        </r>
      </text>
    </comment>
    <comment ref="G100" authorId="0" shapeId="0" xr:uid="{006FB764-2A9A-493D-8056-D2BE5E4AE9CA}">
      <text>
        <r>
          <rPr>
            <b/>
            <sz val="8"/>
            <color indexed="81"/>
            <rFont val="Tahoma"/>
            <family val="2"/>
            <charset val="238"/>
          </rPr>
          <t>VLOŽ JEDNOTKOVOU CENU ZHOTOVITELE ZA POLOŽKU</t>
        </r>
        <r>
          <rPr>
            <sz val="8"/>
            <color indexed="81"/>
            <rFont val="Tahoma"/>
            <family val="2"/>
            <charset val="238"/>
          </rPr>
          <t xml:space="preserve">
</t>
        </r>
      </text>
    </comment>
    <comment ref="G102" authorId="0" shapeId="0" xr:uid="{2BFC36FE-CCF7-4A29-AFE5-D7DFAC8836D6}">
      <text>
        <r>
          <rPr>
            <b/>
            <sz val="8"/>
            <color indexed="81"/>
            <rFont val="Tahoma"/>
            <family val="2"/>
            <charset val="238"/>
          </rPr>
          <t>VLOŽ JEDNOTKOVOU CENU ZHOTOVITELE ZA POLOŽKU</t>
        </r>
        <r>
          <rPr>
            <sz val="8"/>
            <color indexed="81"/>
            <rFont val="Tahoma"/>
            <family val="2"/>
            <charset val="238"/>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53295FF4-33AA-42B5-8E08-3769337E4F55}" name="DSO_020_1_VODOVODNI_ODBOCENI" type="4" refreshedVersion="0" background="1">
    <webPr xml="1" sourceData="1" url="C:\Users\User2\Desktop\DSO_020_1_VODOVODNI_ODBOCENI.xml" htmlTables="1" htmlFormat="all"/>
  </connection>
</connections>
</file>

<file path=xl/sharedStrings.xml><?xml version="1.0" encoding="utf-8"?>
<sst xmlns="http://schemas.openxmlformats.org/spreadsheetml/2006/main" count="12664" uniqueCount="1396">
  <si>
    <t xml:space="preserve">STAVEBNÍ OBJEKTY - CELKEM </t>
  </si>
  <si>
    <t>STAVBA CELKEM</t>
  </si>
  <si>
    <r>
      <rPr>
        <sz val="11"/>
        <rFont val="Arial CE"/>
        <family val="2"/>
        <charset val="238"/>
      </rPr>
      <t>stavební úpravy odkyselovací stanice</t>
    </r>
    <r>
      <rPr>
        <i/>
        <sz val="11"/>
        <rFont val="Arial CE"/>
        <family val="2"/>
        <charset val="238"/>
      </rPr>
      <t xml:space="preserve"> - odhad, nutno dopracovat</t>
    </r>
    <r>
      <rPr>
        <sz val="11"/>
        <rFont val="Arial CE"/>
        <family val="2"/>
        <charset val="238"/>
      </rPr>
      <t xml:space="preserve"> </t>
    </r>
  </si>
  <si>
    <r>
      <rPr>
        <sz val="11"/>
        <rFont val="Arial CE"/>
        <family val="2"/>
        <charset val="238"/>
      </rPr>
      <t>výměna armatur v odkyselovací stanici</t>
    </r>
    <r>
      <rPr>
        <i/>
        <sz val="11"/>
        <rFont val="Arial CE"/>
        <family val="2"/>
        <charset val="238"/>
      </rPr>
      <t xml:space="preserve"> - odhad, nutno dopracovat</t>
    </r>
  </si>
  <si>
    <t>DPH 21%</t>
  </si>
  <si>
    <t>REKAPITULACE STAVBY</t>
  </si>
  <si>
    <t>Stavba :</t>
  </si>
  <si>
    <t>Objednavatel :</t>
  </si>
  <si>
    <t>Zhotovitel :</t>
  </si>
  <si>
    <t>Stupeň PD :</t>
  </si>
  <si>
    <t>CÚ :</t>
  </si>
  <si>
    <t>verze :</t>
  </si>
  <si>
    <t>č.</t>
  </si>
  <si>
    <t>STAVEBNÍ OBJEKT
SO (DSO)</t>
  </si>
  <si>
    <t>NÁZEV STAVEBNÍHO OBJEKTU
NÁZEV DÍLČÍHO STAVEBNÍHO OBJEKTU</t>
  </si>
  <si>
    <t>CENA DSO (DPS)
BEZ DPH</t>
  </si>
  <si>
    <t>CENA SO (PS)
bez DPH</t>
  </si>
  <si>
    <t>CENA CELKEM</t>
  </si>
  <si>
    <t>SO 010 SVODNÉ ŘADY</t>
  </si>
  <si>
    <t>STAVEBNÍ ÚPRAVY STÁV. OBJEKTU ODKYSELOVACÍ STANICE</t>
  </si>
  <si>
    <t>SVODNÝ ŘAD 1</t>
  </si>
  <si>
    <t>HDPE 100, d 110, SDR 11, 110/10,0 mm, terén nezpevněný</t>
  </si>
  <si>
    <t>SVODNÝ ŘAD 2</t>
  </si>
  <si>
    <t>samostatné vedení + vytyč. Vodič + kabel NN</t>
  </si>
  <si>
    <t>souběžné vedení s výtlaky, přívodem a kabelem NN</t>
  </si>
  <si>
    <t>STAVEBNÍ OBJEKTY ( DÍLČÍ STAVEBNÍ OBJEKTY )</t>
  </si>
  <si>
    <t>VEDLEJŠÍ ROZPOČTOVÉ NÁKLADY</t>
  </si>
  <si>
    <t>1.</t>
  </si>
  <si>
    <t>2.</t>
  </si>
  <si>
    <t>2.1.</t>
  </si>
  <si>
    <t>2.2.</t>
  </si>
  <si>
    <t>3.</t>
  </si>
  <si>
    <t>Projektant :</t>
  </si>
  <si>
    <t>SO 001</t>
  </si>
  <si>
    <t>3.1.</t>
  </si>
  <si>
    <t>RTS I / 2024</t>
  </si>
  <si>
    <t>tel.: +420 603 243 484</t>
  </si>
  <si>
    <r>
      <rPr>
        <b/>
        <i/>
        <sz val="8"/>
        <rFont val="Arial CE"/>
        <charset val="238"/>
      </rPr>
      <t xml:space="preserve">e-mail: </t>
    </r>
    <r>
      <rPr>
        <b/>
        <i/>
        <u/>
        <sz val="8"/>
        <color indexed="12"/>
        <rFont val="Arial CE"/>
        <charset val="238"/>
      </rPr>
      <t>klicka@projekceklicka.cz</t>
    </r>
  </si>
  <si>
    <t>dle výběru investora / dle výběrového řízení na zhotovitele stavby</t>
  </si>
  <si>
    <r>
      <t xml:space="preserve">MĚSTO JIHLAVA, </t>
    </r>
    <r>
      <rPr>
        <b/>
        <sz val="11"/>
        <rFont val="Arial CE"/>
        <charset val="238"/>
      </rPr>
      <t>REKONSTRUKCE ULICE ŠKROUPOVA,</t>
    </r>
    <r>
      <rPr>
        <b/>
        <sz val="12"/>
        <rFont val="Arial CE"/>
        <family val="2"/>
        <charset val="238"/>
      </rPr>
      <t xml:space="preserve">
</t>
    </r>
    <r>
      <rPr>
        <b/>
        <sz val="11"/>
        <rFont val="Arial CE"/>
        <charset val="238"/>
      </rPr>
      <t>SO 301 VODOVOD, SO 302 KANALIZACE</t>
    </r>
  </si>
  <si>
    <r>
      <t xml:space="preserve">Statutární město Jihlava, </t>
    </r>
    <r>
      <rPr>
        <b/>
        <sz val="11"/>
        <rFont val="Arial CE"/>
        <charset val="238"/>
      </rPr>
      <t>Masarykovo nám. 1, 586 01 Jihlava</t>
    </r>
  </si>
  <si>
    <r>
      <t xml:space="preserve">Ing. Vladimír Klička, </t>
    </r>
    <r>
      <rPr>
        <b/>
        <sz val="11"/>
        <rFont val="Arial CE"/>
        <charset val="238"/>
      </rPr>
      <t>Boršov 57, 588 05 Dušejov</t>
    </r>
  </si>
  <si>
    <t>Dokumentace pro územní a stavební povolení (DUR+DSP) 
- zpracováno ve stupni DpPS - Dokumentace pro provádění stavby</t>
  </si>
  <si>
    <t>SO 301</t>
  </si>
  <si>
    <t>VODOVOD</t>
  </si>
  <si>
    <t>SO 301.I.</t>
  </si>
  <si>
    <t>VODOVODNÍ ŘAD - I. ETAPA</t>
  </si>
  <si>
    <t>2.1.1.</t>
  </si>
  <si>
    <t>2.1.2.</t>
  </si>
  <si>
    <t>2.1.3.</t>
  </si>
  <si>
    <t>2.1.4.</t>
  </si>
  <si>
    <t>DSO 301.I.1.</t>
  </si>
  <si>
    <t>DSO 301.I.2.</t>
  </si>
  <si>
    <t>DSO 301.I.3.</t>
  </si>
  <si>
    <t>DSO 301.I.4.</t>
  </si>
  <si>
    <t>VODOVODNÍ ODBOČENÍ č.p. 5073/1</t>
  </si>
  <si>
    <t>VODOVODNÍ ODBOČENÍ č.p. 850/4</t>
  </si>
  <si>
    <t>VODOVODNÍ ODBOČENÍ č.p. 912/24</t>
  </si>
  <si>
    <t>VODOVODNÍ ODBOČENÍ č.p. 4804/6</t>
  </si>
  <si>
    <t>SO 301.II.</t>
  </si>
  <si>
    <t>VODOVODNÍ ŘAD - II. ETAPA</t>
  </si>
  <si>
    <t>SO 302</t>
  </si>
  <si>
    <t>KANALIZACE</t>
  </si>
  <si>
    <t>SO 302.I.</t>
  </si>
  <si>
    <t>KANALIZACE - I. ETAPA</t>
  </si>
  <si>
    <t>3.1.1.</t>
  </si>
  <si>
    <t>3.1.2.</t>
  </si>
  <si>
    <t>3.1.3.</t>
  </si>
  <si>
    <t>3.1.4.</t>
  </si>
  <si>
    <t>3.1.5.</t>
  </si>
  <si>
    <t>DSO 302.I.1.</t>
  </si>
  <si>
    <t>KANALIZAČNÍ ODBOČENÍ č.p. 4804/6</t>
  </si>
  <si>
    <t>KANALIZAČNÍ ODBOČENÍ č.p. 912/24</t>
  </si>
  <si>
    <t>KANALIZAČNÍ ODBOČENÍ č.p. 850/4</t>
  </si>
  <si>
    <t>KANALIZAČNÍ ODBOČENÍ č.p. 5073/1</t>
  </si>
  <si>
    <t>KANALIZACE - II. ETAPA</t>
  </si>
  <si>
    <t>DSO 302.I.2.</t>
  </si>
  <si>
    <t>DSO 302.I.3.</t>
  </si>
  <si>
    <t>DSO 302.I.4.</t>
  </si>
  <si>
    <t>SO 302.II.</t>
  </si>
  <si>
    <t>3.2.</t>
  </si>
  <si>
    <t>3.2.1.</t>
  </si>
  <si>
    <t>DSO 302.II.1.</t>
  </si>
  <si>
    <t>KANALIZAČNÍ PŘÍPOJKA PRO MONOLITICKÝ POLYMERBETONOVÝ ŽLAB (PV1)</t>
  </si>
  <si>
    <t>Název stavby:</t>
  </si>
  <si>
    <t>MĚSTO JIHLAVA, REKONSTRUKCE ULICE ŠKROUPOVA - SO 301 VODOVOD, SO 302 KANALIZACE</t>
  </si>
  <si>
    <t>Doba výstavby:</t>
  </si>
  <si>
    <t xml:space="preserve"> </t>
  </si>
  <si>
    <t>Druh stavby:</t>
  </si>
  <si>
    <t>SO 302.I. KANALIZACE - I. ETAPA</t>
  </si>
  <si>
    <t>Začátek výstavby:</t>
  </si>
  <si>
    <t>Lokalita:</t>
  </si>
  <si>
    <t>k.ú. JIHLAVA, ul. Škroupova</t>
  </si>
  <si>
    <t>Konec výstavby:</t>
  </si>
  <si>
    <t>dle výběru investora / výběrového řízení</t>
  </si>
  <si>
    <t>JKSO:</t>
  </si>
  <si>
    <t>8272111</t>
  </si>
  <si>
    <t>Zpracováno dne:</t>
  </si>
  <si>
    <t>Č</t>
  </si>
  <si>
    <t>Kód</t>
  </si>
  <si>
    <t>Zkrácený popis</t>
  </si>
  <si>
    <t>MJ</t>
  </si>
  <si>
    <t>Množství</t>
  </si>
  <si>
    <t>Cena/MJ</t>
  </si>
  <si>
    <t>Náklady (Kč)</t>
  </si>
  <si>
    <t>Hmotnost (t)</t>
  </si>
  <si>
    <t>Cenová</t>
  </si>
  <si>
    <t>ISWORK</t>
  </si>
  <si>
    <t>GROUPCODE</t>
  </si>
  <si>
    <t>VATTAX</t>
  </si>
  <si>
    <t>Rozměry</t>
  </si>
  <si>
    <t>(Kč)</t>
  </si>
  <si>
    <t>Dodávka</t>
  </si>
  <si>
    <t>Montáž</t>
  </si>
  <si>
    <t>Celkem</t>
  </si>
  <si>
    <t>Jednot.</t>
  </si>
  <si>
    <t>soustava</t>
  </si>
  <si>
    <t>Přesuny</t>
  </si>
  <si>
    <t>Typ skupiny</t>
  </si>
  <si>
    <t>HSV mat</t>
  </si>
  <si>
    <t>HSV prac</t>
  </si>
  <si>
    <t>PSV mat</t>
  </si>
  <si>
    <t>PSV prac</t>
  </si>
  <si>
    <t>Mont mat</t>
  </si>
  <si>
    <t>Mont prac</t>
  </si>
  <si>
    <t>Ostatní mat.</t>
  </si>
  <si>
    <t>MAT</t>
  </si>
  <si>
    <t>WORK</t>
  </si>
  <si>
    <t>CELK</t>
  </si>
  <si>
    <t/>
  </si>
  <si>
    <t>0</t>
  </si>
  <si>
    <t>Všeobecné konstrukce a práce</t>
  </si>
  <si>
    <t>1</t>
  </si>
  <si>
    <t>015 Kl 000990VD</t>
  </si>
  <si>
    <t>Zkouška únosnosti pláně</t>
  </si>
  <si>
    <t>soub.</t>
  </si>
  <si>
    <t>0_</t>
  </si>
  <si>
    <t>_</t>
  </si>
  <si>
    <t>Poznámka:</t>
  </si>
  <si>
    <t>ZKOUŠKY ÚNOSNOSTI PLÁNĚ DLE TP 146,  PŘÍMÁ METODA - 1x / 100 bm (KONSTRUKČNÍ VRSTVA - DNO) + 1x / 100 bm (KONSTRUKČNÍ VRSTVA - VRCH).
Výpočet - výměra, rozměr:
2 =&gt; počet souborů zkoušek [-]</t>
  </si>
  <si>
    <t>11</t>
  </si>
  <si>
    <t>Přípravné a přidružené práce</t>
  </si>
  <si>
    <t>2</t>
  </si>
  <si>
    <t>119000001RA0</t>
  </si>
  <si>
    <t>Dočasné zajištění potrubí ve výkopu (křížení)</t>
  </si>
  <si>
    <t>m</t>
  </si>
  <si>
    <t>11_</t>
  </si>
  <si>
    <t>1_</t>
  </si>
  <si>
    <t>Dočasné zajištění potrubí ve výkopu vzniklé křížením (příp. souběhy), např.: podepřením, tvárnicemi, zákrytovými deskami.
Výpočet - výměra, rozměr:
4*1,73*0,50 =&gt; počet křížení [ks] * prům. šířka rýhy [m] - 50% z toho</t>
  </si>
  <si>
    <t>3</t>
  </si>
  <si>
    <t>119000002RA0</t>
  </si>
  <si>
    <t>Dočasné zajištění kabelů ve výkopu (křížení)</t>
  </si>
  <si>
    <t>Dočasné zajištění kabelů ve výkopu vzniklé křížením, např.: podepřením, tvárnicemi, zákrytovými deskami.
Výpočet - výměra, rozměr:
2*1,73*0,50 =&gt; počet křížení [ks] * prům. šířka rýhy [m] - 50% z toho</t>
  </si>
  <si>
    <t>4</t>
  </si>
  <si>
    <t>115101202R00</t>
  </si>
  <si>
    <t>Čerpání vody do výšky 10 m, přítok 500-1000 l/min</t>
  </si>
  <si>
    <t>h</t>
  </si>
  <si>
    <t>Množství m.j. je uvedeno dle předpokladu, celková cena této práce se stanoví podle skutečnosti při provádění stavebních prací. Den = 8 hodin.
Výpočet:
2*8 =&gt; předpoklad čerpání ve dnech * počet hodin - stanoveno odhadem</t>
  </si>
  <si>
    <t>5</t>
  </si>
  <si>
    <t>115101302R00</t>
  </si>
  <si>
    <t>Pohotovost čerp.soupravy, výška 10 m,přítok 1000 l</t>
  </si>
  <si>
    <t>den</t>
  </si>
  <si>
    <t>Pohotovost čerpací soupravy. Oceňují se všechny dny od ukončení montáže po započetí demontáže čerpací soustavy.
Výpočet:
12 =&gt; předpokad čerpání ve dnech =&gt; stanoveno odhadem</t>
  </si>
  <si>
    <t>6</t>
  </si>
  <si>
    <t>113107222RAB</t>
  </si>
  <si>
    <t>Odstranění asfaltobetonové vozovky pl. nad 50 m2 - MOK</t>
  </si>
  <si>
    <t>m2</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</si>
  <si>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79,50*1,73*1,05 =&gt; ÚSEK č.1 (MOK): délka úseku [m] * prům. šíře rýhy [m] + rezerva 5%</t>
  </si>
  <si>
    <t>7</t>
  </si>
  <si>
    <t>113107415R00</t>
  </si>
  <si>
    <t>Odstranění podkladu nad 50 m2,kam.těžené tl.15 cm - MOK</t>
  </si>
  <si>
    <t>Odstranění podkladu nad 50 m2,kam.těžené tl. 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79,50*1,73 =&gt; ÚSEK č.1 (MOK): délka úseku [m] * prům. šíře rýhy [m]</t>
  </si>
  <si>
    <t>12</t>
  </si>
  <si>
    <t>Odkopávky a prokopávky</t>
  </si>
  <si>
    <t>8</t>
  </si>
  <si>
    <t>120001101R00</t>
  </si>
  <si>
    <t>Příplatek za ztížení vykopávky v blízkosti vedení</t>
  </si>
  <si>
    <t>m3</t>
  </si>
  <si>
    <t>12_</t>
  </si>
  <si>
    <t>Příplatek za ztížení vykopávky v blízkosti vedení, stanoveno odhadem.</t>
  </si>
  <si>
    <t>13</t>
  </si>
  <si>
    <t>Hloubené vykopávky</t>
  </si>
  <si>
    <t>9</t>
  </si>
  <si>
    <t>132201213R00</t>
  </si>
  <si>
    <t>Hloubení rýh š.do 200 cm hor.3 do 10000 m3,STROJNĚ</t>
  </si>
  <si>
    <t>13_</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</si>
  <si>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79,50*2,14*0,5*1,05 =&gt; ÚSEK č.1 (MOK): délka úseku [m] * prům.plocha [m2] * 50% (III. tř. horniny) + 5% rezerva</t>
  </si>
  <si>
    <t>10</t>
  </si>
  <si>
    <t>132201219R00</t>
  </si>
  <si>
    <t>Přípl.za lepivost, hloubení rýh 200cm, hor.3, STROJNĚ</t>
  </si>
  <si>
    <t>Příplatek za lepivost, 50% celkového objemu výkopu. Do měrných jednotek se udává poměrné množství zeminy, které ulpí v nářadí a o které je snížen celkový výkon stroje.
Výpočet - výměra, rozměr:
89,32 [m3] * 0,50 [%] =&gt; převzaté č. pol. 132201213R00 (Hloubení rýh š.do 200 cm hor.3 do 10 000m3,STROJNĚ) * 50% z výkopku</t>
  </si>
  <si>
    <t>132301213R00</t>
  </si>
  <si>
    <t>Hloubení rýh š.do 200 cm hor.4 do 10000 m3,STROJNĚ</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</si>
  <si>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79,50*2,14*0,5*1,05 =&gt; ÚSEK č.1 (MOK): délka úseku [m] * prům.plocha [m2] * 50% (IV. tř. horniny) + 5% rezerva</t>
  </si>
  <si>
    <t>132301219R00</t>
  </si>
  <si>
    <t>Přípl.za lepivost,hloubení rýh 200cm,hor.4,STROJNĚ</t>
  </si>
  <si>
    <t>Příplatek za lepivost, 25% celkového objemu výkopu. Do měrných jednotek se udává poměrné množství zeminy, které ulpí v nářadí a o které je snížen celkový výkon stroje.
Výpočet - výměra, rozměr:
89,32 [m3] * 0,25 [%] =&gt; převzaté č. pol. 132301213R00 (Hloubení rýh v hor.4 do 10 000m3,STROJNĚ) * 25% z výkopku</t>
  </si>
  <si>
    <t>132401211R00</t>
  </si>
  <si>
    <t>Hloubení rýh šířky do 200 cm v hor.5, STROJNĚ</t>
  </si>
  <si>
    <t>Položka obsahuje hloubení jámy kolovým rypadlem s rozrývacím zubem,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Položka se používá bez ohledu na těžené množství.
Rezerva pro výskyt horniny třídy V. Stanoveno odhadem.</t>
  </si>
  <si>
    <t>14</t>
  </si>
  <si>
    <t>132501211R00</t>
  </si>
  <si>
    <t>Hloubení rýh šířky do 200 cm v hor.6, STROJNĚ</t>
  </si>
  <si>
    <t>Rezerva pro výskyt horniny třídy VI. Stanoveno odhadem.</t>
  </si>
  <si>
    <t>15</t>
  </si>
  <si>
    <t>138501201R00</t>
  </si>
  <si>
    <t>Dolamování rýh ve vrstvě do 0,5 m v hor.6</t>
  </si>
  <si>
    <t>Rezerva pro případné uložení drenážního potrubí DN 80. 
Výpočet - výměra, rozměr:
10*0,25*1,10 =&gt; délka výkopku pro příp. drenážní potrubí [m] * plocha rýhy [m2] + rezerva 10%</t>
  </si>
  <si>
    <t>Roubení</t>
  </si>
  <si>
    <t>16</t>
  </si>
  <si>
    <t>151101102R00</t>
  </si>
  <si>
    <t>Pažení a rozepření stěn rýh - příložné - hl.do 4 m</t>
  </si>
  <si>
    <t>15_</t>
  </si>
  <si>
    <t>Pažení a rozepření stěny rýhy - příložné - hl. do 4 m. D+M
Výpočet - výměra, rozměr:
79,50*2,15*2*0,90 =&gt; délka trasy / úseku / stoky [m] * průměrná výška [m] * počet stěn [ks] - 90% z toho</t>
  </si>
  <si>
    <t>17</t>
  </si>
  <si>
    <t>151101112R00</t>
  </si>
  <si>
    <t>Odstranění pažení stěn rýh - příložné - hl. do 4 m</t>
  </si>
  <si>
    <t>Odstranění pažení a rozepření stěny rýhy - příložné - hl. do 4 m. D+M
Výpočet - výměra, rozměr:
79,50*2,15*2*0,90 =&gt; délka trasy / úseku / stoky [m] * průměrná výška [m] * počet stěn [ks] - 90% z toho</t>
  </si>
  <si>
    <t>Přemístění výkopku</t>
  </si>
  <si>
    <t>18</t>
  </si>
  <si>
    <t>161101101R00</t>
  </si>
  <si>
    <t>Svislé přemístění výkopku z hor.1-4 do 2,5 m</t>
  </si>
  <si>
    <t>16_</t>
  </si>
  <si>
    <t>bez naložení do dopravní nádoby, ale s vyprázdněním dopravní nádoby na hromadu nebo na dopravní prostředek
hloubení rýh š. do 200 cm objemu nad 100 m3 (stavba globálně): 50 %
Výpočet - výměra, rozměr:
(89,32+89,32)*0,50 =&gt; součet kubatury horn.  tř. I. až IV. * 50 % - stanoveno z tabulky v RTS komentáři</t>
  </si>
  <si>
    <t>19</t>
  </si>
  <si>
    <t>161101151R00</t>
  </si>
  <si>
    <t>Svislé přemístění výkopku z hor.5-7 do 2,5 m</t>
  </si>
  <si>
    <t>bez naložení do dopravní nádoby, ale s vyprázdněním dopravní nádoby na hromadu nebo na dopravní prostředek
hloubení rýh š. do 200 cm objemu nad 100 m3 (stavba globálně): 50 %
viz. TABULKA TĚŽITELNOSTI HORNIN
Výpočet - výměra, rozměr:
(10,0+7,0+2,75)*0,50 =&gt; součet kubatury horn.  tř. V. až VII. * 50 % - stanoveno z tabulky v RTS komentáři</t>
  </si>
  <si>
    <t>20</t>
  </si>
  <si>
    <t>162701105RT3</t>
  </si>
  <si>
    <t>Vodorovné přemístění výkopku z hor.1-4 do 10000 m</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</si>
  <si>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(89,32+89,32) =&gt; celkový výkop hor. tř. I.-IV. [m3]
-63,44 =&gt; odečet kubatury zeminy potřebné k zásypu [m3]</t>
  </si>
  <si>
    <t>21</t>
  </si>
  <si>
    <t>162701155RT3</t>
  </si>
  <si>
    <t>Vodorovné přemístění výkopku z hor.5-7 do 10000 m</t>
  </si>
  <si>
    <t>Po suchu, bez naložení výkopku, avšak se složením bez rozhrnutí, zpáteční cesta vozidla.
Předpoklad uložení - skládka (Skládka Henčov - SMJ s.r.o., Jihlava, ul. Škroupova - Skládka Henčov = 7,0 km).
Výpočet - výměra, rozměr:
10,00+7,00+2,75 =&gt; součet výkopků tř. V. až VII. [m3]</t>
  </si>
  <si>
    <t>22</t>
  </si>
  <si>
    <t>167101102R00</t>
  </si>
  <si>
    <t>Nakládání, skládání, překládání neulehlého výkopku z hor.1-4 v množství nad 100 m3</t>
  </si>
  <si>
    <t>Naložení a složení výkopku tř. 1. až 4. z mezideponie pro zásyp rýhy.
Výpočet - výměra, rozměr:
2*63,44 =&gt; počet nakládání / skládání [-] * kubatura horniny tř. I. - IV. potřebná pro zásyp [m3]</t>
  </si>
  <si>
    <t>23</t>
  </si>
  <si>
    <t>162401102RT3</t>
  </si>
  <si>
    <t>Vodorovné přemístění výkopku z hor.1-4 do 2000 m - odvozy mezideponie</t>
  </si>
  <si>
    <t>Položka obsahuje naložení, odvoz výkopku na mezideponii, složení výkopku a zpáteční cestu.
Výpočet - výměra, rozměr:
2*63,44 =&gt; 1x odvoz + 1x dovoz [-] * kubatura horniny tř. I. - IV. potřebná pro zásyp [m3]</t>
  </si>
  <si>
    <t>Konstrukce ze zemin</t>
  </si>
  <si>
    <t>24</t>
  </si>
  <si>
    <t>175101101RT2</t>
  </si>
  <si>
    <t>Obsyp potrubí bez prohození sypaniny</t>
  </si>
  <si>
    <t>17_</t>
  </si>
  <si>
    <t>Obsyp hutnitelným nesoudržným materiálem (f = 0-4 / 0-16 mm pro PP/PVC, dle TP dodavatele potrubí) , pro jakoukoliv hloubku výkopu a jakoukoliv míru zhutnění, včetně dodávky obsypového materiálu. D+M
viz. PODÉLNÉ PROFILY
Výpočet - výměra, rozměr:
79,50*0,78*1,05 =&gt; délka trasy úseku / stoky [m] * plocha obsypu [m2] + rezerva na zhutnění 5%
-(79,50*(pi*0,150^2)) =&gt; odečet kubatury vytlačené potrubím [m3]</t>
  </si>
  <si>
    <t>25</t>
  </si>
  <si>
    <t>175101109R00</t>
  </si>
  <si>
    <t>Příplatek za prohození sypaniny pro obsyp potrubí</t>
  </si>
  <si>
    <t>26</t>
  </si>
  <si>
    <t>174101101R00</t>
  </si>
  <si>
    <t>Zásyp jam, rýh, šachet se zhutněním</t>
  </si>
  <si>
    <t>Zásyp jam, rýh, šachet se zhutněním z jakékoliv horniny (tř. I - IV.) s uložením výkopku po vrtstvách, max. velikost kamene 100 mm, přebytečná zemina odvezena na skládku:
viz. PODÉLNÉ PROFILY
Výpočet - výměra, rozměr:
79,50*0,76*1,05 =&gt; ÚSEK č.1 (MOK): délka úseku [m] * prům.pl. zásypu [m2]  + 5% rezerva na zhutnění</t>
  </si>
  <si>
    <t>Hloubení pro podzemní stěny, ražení a hloubení důlní</t>
  </si>
  <si>
    <t>27</t>
  </si>
  <si>
    <t>199000002R00</t>
  </si>
  <si>
    <t>Poplatek za skládku horniny 1- 4</t>
  </si>
  <si>
    <t>19_</t>
  </si>
  <si>
    <t>Výpočet - výměra, rozměr:
115,20 =&gt; kubatura [m3] - převzato z pol. vodorovného přesunu horn. tř. 1 - 4</t>
  </si>
  <si>
    <t>28</t>
  </si>
  <si>
    <t>199000003R00</t>
  </si>
  <si>
    <t>Poplatek za skládku horniny 5 - 7</t>
  </si>
  <si>
    <t>Výpočet - výměra, rozměr:
19,75 =&gt; kubatura [m3] - převzato z pol. vodorovného přesunu horn. tř. 5 - 7</t>
  </si>
  <si>
    <t>Úprava podloží a základové spáry</t>
  </si>
  <si>
    <t>29</t>
  </si>
  <si>
    <t>215901101R00</t>
  </si>
  <si>
    <t>Zhutnění podloží z hornin nesoudržných do 92% PS</t>
  </si>
  <si>
    <t>21_</t>
  </si>
  <si>
    <t>2_</t>
  </si>
  <si>
    <t>Zhutnění podloží pod potrubím válcem.
Výpočet - výměra, rozměr:
79,50*1,12*1,10 =&gt; délka řadu [m] * šířka lože [m] + 10% rezerva</t>
  </si>
  <si>
    <t>30</t>
  </si>
  <si>
    <t>212810010RAB</t>
  </si>
  <si>
    <t>Trativody z PVC drenážních flexibilních trubek</t>
  </si>
  <si>
    <t>Drenážní (odvodňovací) potrubí DN 80, lože ze štěrkopísku (f = 4 - 16 mm), obalení potrubí geotextilií, uložení do rýhy, obsyp štěrkem (f = 32 - 64 mm). D+M
Rezerva pro případ odvodnění, napojení do dešťové kanalizace.</t>
  </si>
  <si>
    <t>31</t>
  </si>
  <si>
    <t>998312021R00</t>
  </si>
  <si>
    <t>Přesun hmot pro odvodnění drenáží s výplní rýh</t>
  </si>
  <si>
    <t>t</t>
  </si>
  <si>
    <t>Základy</t>
  </si>
  <si>
    <t>32</t>
  </si>
  <si>
    <t>271313511R00.1</t>
  </si>
  <si>
    <t>Beton podkladní pod základové konstrukce, prostý</t>
  </si>
  <si>
    <t>27_</t>
  </si>
  <si>
    <t>Beton podkladní pod základové konstrukce, prostý - betonové lože pod revizní šachtu, tl. 0,20 m, a = 1,20 m. D+M
Výpočet - výměra, rozměr:
3*(1,2*1,2*0,2) =&gt; počet šachet [ks] * objem podkladového bet. pod šachtu [m3]</t>
  </si>
  <si>
    <t>45</t>
  </si>
  <si>
    <t>Podkladní a vedlejší konstrukce (kromě vozovek a železničního svršku)</t>
  </si>
  <si>
    <t>33</t>
  </si>
  <si>
    <t>451573111R00</t>
  </si>
  <si>
    <t>Lože pod potrubí ze štěrkopísku, f = 0 - 4 mm</t>
  </si>
  <si>
    <t>45_</t>
  </si>
  <si>
    <t>4_</t>
  </si>
  <si>
    <t>Zhotovení podkladního lože pod kanalizační potrubí ze štěrkopísku, f = 0 - 4 mm, včetně dodávky podkladového materiálu. D+M
Výpočet - výměra, rozměr:
79,50*1,12*0,15*1,15 =&gt; délka trasy úseku / stoky [m] * šíře rýhy [m] * tl. lože [m] + rezerva na zhutnění 15%</t>
  </si>
  <si>
    <t>56</t>
  </si>
  <si>
    <t>Podkladní vrstvy komunikací, letišť a ploch</t>
  </si>
  <si>
    <t>34</t>
  </si>
  <si>
    <t>564861111RT4</t>
  </si>
  <si>
    <t>Podklad ze štěrkodrti po zhutnění tloušťky 20 cm - MOK</t>
  </si>
  <si>
    <t>56_</t>
  </si>
  <si>
    <t>5_</t>
  </si>
  <si>
    <t>Podklad ze štěrkodrti, f = 0 - 63 mm, tl. vrstvy 20 cm, včetně dodávky štěrkodrtě. D+M
Výpočet - výměra, rozměr:
79,50*1,55*1,05 =&gt; ÚSEK č.1: délka úseku [m] * prům. šíře rýhy [m] + rezerva 5%</t>
  </si>
  <si>
    <t>35</t>
  </si>
  <si>
    <t>564762111R00</t>
  </si>
  <si>
    <t>Podklad z kam.drceného 32-63 s výplň.kamen. 20 cm - MOK</t>
  </si>
  <si>
    <t>Podkladní vrstva z kameniva drceného, f = 32 - 63 mm, s výplň.kamen., tl. vrstvy 20 cm, včetně dodávky kameniva. D+M
Výpočet - výměra, rozměr:
79,50*1,61*1,05 =&gt; ÚSEK č.1: délka úseku [m] * prům. šíře rýhy [m] + rezerva 5%</t>
  </si>
  <si>
    <t>36</t>
  </si>
  <si>
    <t>Podkladní vrstva z kameniva drceného, f = 32 - 63 mm, s výplň.kamen., tl. vrstvy 20 cm, včetně dodávky kameniva. D+M
Výpočet - výměra, rozměr:
79,50*1,66*1,05 =&gt; ÚSEK č.1: délka úseku [m] * prům. šíře rýhy [m] + rezerva 5%</t>
  </si>
  <si>
    <t>37</t>
  </si>
  <si>
    <t>564851111RT2</t>
  </si>
  <si>
    <t>Podklad ze štěrkodrti po zhutnění tloušťky 15 cm - MOK</t>
  </si>
  <si>
    <t>Provizorní pojízdná vrstva ze štěrkodrti, f = 0 - 32 mm, tl. vrstvy 15 cm, včetně dodávky štěrkodrti. D+M
Výpočet - výměra, rozměr:
79,50*1,73 =&gt; ÚSEK č.1 (MOK): délka úseku [m] * prům. šíře rýhy [m]</t>
  </si>
  <si>
    <t>87</t>
  </si>
  <si>
    <t>Potrubí z trub plastických, skleněných a čedičových</t>
  </si>
  <si>
    <t>38</t>
  </si>
  <si>
    <t>871371111R00</t>
  </si>
  <si>
    <t>Montáž trubek z tvrdého PVC ve výkopu d 315 mm</t>
  </si>
  <si>
    <t>87_</t>
  </si>
  <si>
    <t>8_</t>
  </si>
  <si>
    <t>Montáž potrubí z tvrdého PVC těsněných gumovým kroužkem. V položce jsou zakalkulovány i náklady na montáž tvarovek. V položce nejsou zakalkulovány náklady na dodání trubek a tvarovek (mimo odbočné tvarovky), tyto materiály jsou oceněny samostaně ve specifikaci. M
Výpočet - výměra, rozměr:
79,50 =&gt; celková délka montáže potrubí dané světlosti [m]</t>
  </si>
  <si>
    <t>39</t>
  </si>
  <si>
    <t>877373121R00</t>
  </si>
  <si>
    <t>Montáž tvarovek odboč. plast. gum. kroužek DN 300</t>
  </si>
  <si>
    <t>kus</t>
  </si>
  <si>
    <t>Montáž dvouossých kanalizačních odbočných tvarovek daného průměru (kanalizační odbočení pro jednotlivé nemovitosti).
Položka je určena pro montáž tvarovek odbočných na potrubí z kanalizačních trub z plastu těsněných gumovým kroužkem v otevřeném výkopu. M
Výpočet - výměra, rozměr:
7 =&gt; součet všech odbočných tvarovek [ks]</t>
  </si>
  <si>
    <t>40</t>
  </si>
  <si>
    <t>877373123R00</t>
  </si>
  <si>
    <t>Montáž tvarovek jednoos. plast. gum.kroužek DN 300</t>
  </si>
  <si>
    <t>Položka je určena pro montáž tvarovek jednoosých na potrubí z kanalizačních trub z plastu těsněných gumovým kroužkem v otevřeném výkopu. M
Výpočet - výměra, rozměr:
14,0 =&gt; součet všech jednoosých tvarovek [ks]</t>
  </si>
  <si>
    <t>41</t>
  </si>
  <si>
    <t>877373122R00</t>
  </si>
  <si>
    <t>Montáž přesuvek z plastu, gumový kroužek, DN 300</t>
  </si>
  <si>
    <t>Položka je určena pro montáž přesuvek na potrubí z kanalizačních trub z plastu těsněných gumovým kroužkem v otevřeném výkopu. M
Výpočet - výměra, rozměr:
8,0 =&gt; součet všech jednoosých tvarovek [ks]</t>
  </si>
  <si>
    <t>89</t>
  </si>
  <si>
    <t>Ostatní konstrukce a práce na trubním vedení</t>
  </si>
  <si>
    <t>42</t>
  </si>
  <si>
    <t>894423111RT1</t>
  </si>
  <si>
    <t>Osazení betonových dílců šachet do 2,0 t</t>
  </si>
  <si>
    <t>89_</t>
  </si>
  <si>
    <t>Osazení šachtového dna, 1 dno do 2,0 t, TBZ-Q.1 100/80, TBZ-Q.1 100/60.</t>
  </si>
  <si>
    <t>43</t>
  </si>
  <si>
    <t>894422111RT1</t>
  </si>
  <si>
    <t>Osazení betonových dílců šachet</t>
  </si>
  <si>
    <t>Osazení přechodových skruží.</t>
  </si>
  <si>
    <t>44</t>
  </si>
  <si>
    <t>894421112R00</t>
  </si>
  <si>
    <t>Osazení betonových dílců šachet do 1,4 t</t>
  </si>
  <si>
    <t>Osazení šachtového kónusu nebo zákrytové desky. 1ks do 1,4 t</t>
  </si>
  <si>
    <t>894421111R00</t>
  </si>
  <si>
    <t>Osazení betonových dílců šachet do 0,5 t</t>
  </si>
  <si>
    <t>Osazení vyrovnávacích prstenců. 1 prstenec &lt; 0,5 t</t>
  </si>
  <si>
    <t>46</t>
  </si>
  <si>
    <t>899311114R00</t>
  </si>
  <si>
    <t>Osazení poklopů litinových / beton-litinových s rámem nad 150 kg</t>
  </si>
  <si>
    <t>Osazení litinových poklopů s rámem / bez rámu, odvětráním i bez odvětrání.</t>
  </si>
  <si>
    <t>47</t>
  </si>
  <si>
    <t>892601153R00</t>
  </si>
  <si>
    <t>Čištění kanalizační stoky do DN 500, do 100 m</t>
  </si>
  <si>
    <t>Vyčištění kanalizační stoky - proplach vodou před zkouškou těsnosti kanalizace, v položce jsou započteny i náklady na dodání vody. D+M
Výpočet - výměra, rozměr:
79,50 =&gt; délka gravitační kanalizace [m]</t>
  </si>
  <si>
    <t>48</t>
  </si>
  <si>
    <t>892663111R00</t>
  </si>
  <si>
    <t>Zabezpečení konců kanal. potrubí DN do 600, vodou</t>
  </si>
  <si>
    <t>úsek</t>
  </si>
  <si>
    <t>Položka je určena pro zabezpečení jakéhokoliv druhu potrubí v úseku mezi dvěma šachtami pro staveništní čerpání pro zkoušku těsnosti potrubí. V položce jsou zakalkulovány náklady na osazení a odstranění dvou těsnicích uzávěrů.
Výpočet - výměra, rozměr:
3 =&gt; počet úseků na trase  (úsek = libovolná vzdálenost mezi dvěma šachtami)</t>
  </si>
  <si>
    <t>49</t>
  </si>
  <si>
    <t>892581111R00</t>
  </si>
  <si>
    <t>Zkouška těsnosti kanalizace DN do 300, vodou</t>
  </si>
  <si>
    <t>Zkouška těsnosti dešťové kanalizace DN do 300, vodou, včetně nákladů dodávek na vodu, napuštění vodou, zabezpečení konců zajištěno předchozí položkou. D+M
Výpočet - výměra, rozměr:
79,50 =&gt; délka kanalizačního potrubí [m]</t>
  </si>
  <si>
    <t>50</t>
  </si>
  <si>
    <t>892855113R00</t>
  </si>
  <si>
    <t>Kontrola kanalizace TV kamerou do 100 m</t>
  </si>
  <si>
    <t>Kontrola kanalizace TV kamerou nad 500 m, včetně TV záznamu s kontrolou ovality potrubí. D+M
Výpočet - výměra, rozměr:
79,50 =&gt; délka gravit. kanalizace [m]</t>
  </si>
  <si>
    <t>51</t>
  </si>
  <si>
    <t>899721112R00</t>
  </si>
  <si>
    <t>Fólie výstražná z PVC, šířka 30 cm</t>
  </si>
  <si>
    <t>Dodávka a uložení výstražné fólie, hnědé barvy s nápisem "KANALIZACE" / "POZOR KANALIZACE", cca 30 cm nad povrchem potrubí. D+M
Výpočet - výměra, rozměr:
79,50*1,10 =&gt; délka potrubí /úseku/ [m] + rezerva 10%</t>
  </si>
  <si>
    <t>97</t>
  </si>
  <si>
    <t>Prorážení otvorů a ostatní bourací práce</t>
  </si>
  <si>
    <t>52</t>
  </si>
  <si>
    <t>979089001R00</t>
  </si>
  <si>
    <t>Poplatek za uložení odpadního štěrku a kameniva, skupina odpadu 010408</t>
  </si>
  <si>
    <t>97_</t>
  </si>
  <si>
    <t>9_</t>
  </si>
  <si>
    <t>Výpočet - výměra, rozměr:
346,80*0,75 =&gt; celková hmotnost odebraných konstrukcí komunikací [t]  =&gt; z toho prům. 75%</t>
  </si>
  <si>
    <t>H22</t>
  </si>
  <si>
    <t>Komunikace pozemní a letiště</t>
  </si>
  <si>
    <t>53</t>
  </si>
  <si>
    <t>998222011R00</t>
  </si>
  <si>
    <t>Přesun hmot, pozemní komunikace, kryt z kameniva + živičný (stavební přesuny)</t>
  </si>
  <si>
    <t>H22_</t>
  </si>
  <si>
    <t>54</t>
  </si>
  <si>
    <t>998222091R00</t>
  </si>
  <si>
    <t>Přesun hmot, komunikace z kameniva, příplatek 1 km</t>
  </si>
  <si>
    <t>Přesun hmot, komunikace z kameniva, příplatek 1 km - odvoz na skládku dle výběru investora (Pístov, Jihlava, ul. Škroupova - Pístov = 5,0 km).
Výpočet - výměra, rozměr:
5*175,43*0,75 =&gt; počet km [-] * celk. odebraná hmotnost vrstev komunikace [t] =&gt; z toho 75%</t>
  </si>
  <si>
    <t>55</t>
  </si>
  <si>
    <t>998225111R00</t>
  </si>
  <si>
    <t>Přesun hmot, pozemní komunikace, kryt živičný, 1 km</t>
  </si>
  <si>
    <t>Přesun hmot, kryt živičný (1 km) - odvoz na skládku dle výběru investora (Pístov, Jihlava, ul. Škroupova - Pístov = 5,0 km).
Výpočet - výměra, rozměr:
5*175,43*0,75 =&gt; počet km [-] * celk. odebraná hmotnost vrstev komunikace [t] =&gt; z toho 25%</t>
  </si>
  <si>
    <t>Přesun hmot, pozemní komunikace, kryt z kameniva + živičný (stavební přesuny - nové konstrukce)</t>
  </si>
  <si>
    <t>H27</t>
  </si>
  <si>
    <t>Vedení trubní dálková a přípojná</t>
  </si>
  <si>
    <t>57</t>
  </si>
  <si>
    <t>998276101R00</t>
  </si>
  <si>
    <t>Přesun hmot, trubní vedení plastová, otevř. výkop</t>
  </si>
  <si>
    <t>H27_</t>
  </si>
  <si>
    <t>58</t>
  </si>
  <si>
    <t>998276201R00</t>
  </si>
  <si>
    <t>Přesun hmot, trub.vedení plast. - lože, obsypy</t>
  </si>
  <si>
    <t>59</t>
  </si>
  <si>
    <t>998271301R00</t>
  </si>
  <si>
    <t>Přesun hmot pro kanalizace (bet. prefabrikáty, betony), otevř. výkop</t>
  </si>
  <si>
    <t>M</t>
  </si>
  <si>
    <t>Ostatní materiál</t>
  </si>
  <si>
    <t>60</t>
  </si>
  <si>
    <t>Z99999_</t>
  </si>
  <si>
    <t>Z_</t>
  </si>
  <si>
    <t>Potrubí z  PP / PVC / PVC-U v kruhové tuhosti min. SN 12 kN/m2, s plnostěnnou konstrukcí stěny vyráběné v souladu s ČSN EN 1401. Potrubí využívá řadu PVC nebo PP  tvarovek v odpovídající síle stěny. Potrubí je oranžové/hnědé barvy a je spojováno pomocí hrdel a gumového těsnění jištěné plastovým kroužkem. Dodávka materiálu. D
Výpočet - výměra, rozměr:
(79,50*0,75)/6,0 =&gt; celková délka potrubí [m] * 75% z celku / délka trubky + ztratné 10%
Pozn.: Orientační počet daného rozměru, přesný počet bude vykázán zhotovitelem stavby.</t>
  </si>
  <si>
    <t>61</t>
  </si>
  <si>
    <t>Potrubí z  PP / PVC / PVC-U v kruhové tuhosti min. SN 12 kN/m2, s plnostěnnou konstrukcí stěny vyráběné v souladu s ČSN EN 1401. Potrubí využívá řadu PVC nebo PP  tvarovek v odpovídající síle stěny. Potrubí je oranžové/hnědé barvy a je spojováno pomocí hrdel a gumového těsnění jištěné plastovým kroužkem. Dodávka materiálu. D
Výpočet - výměra, rozměr:
(79,50*0,25)/3,0 =&gt; celková délka potrubí [m] * 25% z celku / délka trubky + ztratné 15%
Pozn.: Orientační počet daného rozměru, přesný počet bude vykázán zhotovitelem stavby.</t>
  </si>
  <si>
    <t>62</t>
  </si>
  <si>
    <t>28651717.A</t>
  </si>
  <si>
    <t>Odbočka kanalizační PVC/PP, min. SN12, D 315 mm / d 160 mm / 45°</t>
  </si>
  <si>
    <t>Odbočka kanalizační PVC/PP, min. SN12, D 315 mm / d 160 mm / 45°, nástrčná hrdla opatřená těsnicím kroužkem z elastomeru.
Výpočet - výměra, rozměr:
6 =&gt; počet odbočení na stoce [ks]</t>
  </si>
  <si>
    <t>63</t>
  </si>
  <si>
    <t>28651719.A</t>
  </si>
  <si>
    <t>Odbočka kanalizační PVC/PP, min. SN12, D 315 mm / d 250 mm / 45°</t>
  </si>
  <si>
    <t>Odbočka kanalizační PVC/PP, min. SN12, D 315 mm / d 250 mm / 45°, nástrčná hrdla opatřená těsnicím kroužkem z elastomeru.
Výpočet - výměra, rozměr:
1 =&gt; počet odbočení na stoce [ks]</t>
  </si>
  <si>
    <t>64</t>
  </si>
  <si>
    <t>28651676.A</t>
  </si>
  <si>
    <t>Koleno kanalizační PVC/PP, min. SN12, D 315 mm / 45°</t>
  </si>
  <si>
    <t>Koleno kanalizační PVC/PP, min. SN12, D 315 mm / 45°, nástrčné hrdlo opatřené těsnicím kroužkem z elastomeru.
Výpočet - výměra, rozměr:
1 =&gt; množství [ks] - stanoveno odhadem + ztratné 1,5%
Pozn.: Orientační počet daného rozměru, přesný počet bude vykázán zhotovitelem stavby.</t>
  </si>
  <si>
    <t>65</t>
  </si>
  <si>
    <t>28651675.A</t>
  </si>
  <si>
    <t>Koleno kanalizační PVC/PP, min. SN12, D 315 mm / 30°</t>
  </si>
  <si>
    <t>Koleno kanalizační PVC/PP, min. SN12, D 315 mm / 30°, nástrčné hrdlo opatřené těsnicím kroužkem z elastomeru.
Výpočet - výměra, rozměr:
4 =&gt; množství [ks]  - stanoveno odhadem + ztratné 1,5%
Pozn.: Orientační počet daného rozměru, přesný počet bude vykázán zhotovitelem stavby.</t>
  </si>
  <si>
    <t>66</t>
  </si>
  <si>
    <t>28651674.A</t>
  </si>
  <si>
    <t>Koleno kanalizační PVC/PP, min. SN12, D 315 mm / 15°</t>
  </si>
  <si>
    <t>Koleno kanalizační PVC/PP, min. SN12, D 315 mm / 15°, nástrčné hrdlo opatřené těsnicím kroužkem z elastomeru.
Výpočet - výměra, rozměr:
8 =&gt; množství [ks]  - stanoveno odhadem + ztratné 1,5%
Pozn.: Orientační počet daného rozměru, přesný počet bude vykázán zhotovitelem stavby.</t>
  </si>
  <si>
    <t>67</t>
  </si>
  <si>
    <t>28651815.A</t>
  </si>
  <si>
    <t>Přesuvka kanalizační PVC/PP, min. SN12, D 315 mm</t>
  </si>
  <si>
    <t>Přesuvka kanalizační PVC/PP, min. SN12, D 315 mm, nástrčná hrdla opatřená těsnicím kroužkem z elastomeru.
Výpočet - výměra, rozměr:
8 =&gt; množství [ks]  - stanoveno odhadem + ztratné 1,5%
Pozn.: Orientační počet daného rozměru, přesný počet bude vykázán zhotovitelem stavby.</t>
  </si>
  <si>
    <t>68</t>
  </si>
  <si>
    <t>286516941</t>
  </si>
  <si>
    <t>Redukce kanalizační PVC/PP, min. SN12, D 315 mm / d 160 mm</t>
  </si>
  <si>
    <t>Redukce kanalizační PVC/PP, min. SN12, D 315 mm / d 160 mm, nástrčná hrdla opatřená těsnicím kroužkem z elastomeru.
Výpočet - výměra, rozměr:
1 =&gt; množství [ks]  - stanoveno odhadem + ztratné 1,5%
Pozn.: Orientační počet daného rozměru, přesný počet bude vykázán zhotovitelem stavby.</t>
  </si>
  <si>
    <t>69</t>
  </si>
  <si>
    <t>59224349.A</t>
  </si>
  <si>
    <t>Prstenec vyrovnávací šachtový TBW-Q.1 63/10</t>
  </si>
  <si>
    <t>70</t>
  </si>
  <si>
    <t>59224348.A</t>
  </si>
  <si>
    <t>Prstenec vyrovnávací šachtový TBW-Q.1 63/8</t>
  </si>
  <si>
    <t>71</t>
  </si>
  <si>
    <t>59224353.A</t>
  </si>
  <si>
    <t>Konus šachetní TBR-Q.1 100-63/58/12 KPS</t>
  </si>
  <si>
    <t>72</t>
  </si>
  <si>
    <t>59224359.A</t>
  </si>
  <si>
    <t>Skruž šachetní TBS-Q.1 100/50/12</t>
  </si>
  <si>
    <t>73</t>
  </si>
  <si>
    <t>59224366.A</t>
  </si>
  <si>
    <t>Dno šachtové přímé TBZ-Q.1 100/60 V max. 40</t>
  </si>
  <si>
    <t>74</t>
  </si>
  <si>
    <t>59224373.A</t>
  </si>
  <si>
    <t>Těsnění elastom pro šach díly EMT - DN 1000</t>
  </si>
  <si>
    <t>75</t>
  </si>
  <si>
    <t>55340324</t>
  </si>
  <si>
    <t>Poklop D 400- GU-S-K, litinový, samonivelační, s odvětráním</t>
  </si>
  <si>
    <t>Šachtový poklop podle stavebních předpisů ČSN EN 124 pro jízdní pruhy silnic, pěší zóny a parkovací místa. Dosedací plochy u vík a rámu jsou obráběny a do víka je zabudována tlumicí vložka. Rám GU R-1 (litinový), víko GU-S-K (litinové víko), třída zatížení D400, samonivelační.</t>
  </si>
  <si>
    <t>76</t>
  </si>
  <si>
    <t>55340325</t>
  </si>
  <si>
    <t>Poklop D 400-GU-B-1 litinový, samonivelační, bez odvětrání</t>
  </si>
  <si>
    <t>Šachtový poklop podle stavebních předpisů ČSN EN 124 pro jízdní pruhy silnic, pěší zóny a parkovací místa. Dosedací plochy u vík a rámu jsou obráběny a do víka je zabudována tlumicí vložka.  Rám GU R-1 (litinový), víko GU-B-1 (litinové), třída zatížení D400, samonivelační.</t>
  </si>
  <si>
    <t>Celkem:</t>
  </si>
  <si>
    <t>Předmětná stavba je běžné technické náročnosti s běžnými nároky na její koordinaci.</t>
  </si>
  <si>
    <t>k.ú. JIHLAVA</t>
  </si>
  <si>
    <t>8271331</t>
  </si>
  <si>
    <t>089VD</t>
  </si>
  <si>
    <t>0895008001VD</t>
  </si>
  <si>
    <t>Zaříznutí stávajícího potrubí z LT do DN 100</t>
  </si>
  <si>
    <t>ks</t>
  </si>
  <si>
    <t>089VD_</t>
  </si>
  <si>
    <t>Zaříznutí stávajícího potrubí z LT do DN 100, očištění řezu, sražení hrany, obroušení povrchu trubky pro umožnění napojení hrdlové spojky.
Výpočet - výměra, rozměr:
2 =&gt; počet hrdlových spojek / napojení [ks]</t>
  </si>
  <si>
    <t>Dočasné zajištění kabelů ve výkopu vzniklé křížením, např.: podepřením, tvárnicemi, zákrytovými deskami.
Výpočet - výměra, rozměr:
9*1,39 =&gt; počet křížení [ks] * prům. šířka rýhy [m]</t>
  </si>
  <si>
    <t>Dočasné zajištění potrubí ve výkopu vzniklé křížením (příp. souběhy), např.: podepřením, tvárnicemi, zákrytovými deskami.
Výpočet - výměra, rozměr:
2*1,39 =&gt; počet křížení [ks] * prům. šířka rýhy [m]</t>
  </si>
  <si>
    <t>115101201R00</t>
  </si>
  <si>
    <t>Čerpání vody na výšku do 10 m, přítok do 500 l/min</t>
  </si>
  <si>
    <t>Množství m.j. je uvedeno dle předpokladu, celková cena této práce se stanoví podle skutečnosti při provádění stavebních prací. Den = 8 hodin.
Výpočet:
2*8 =&gt; předpoklad čerpání ve dnech * počet hodin =&gt; stanoveno odhadem</t>
  </si>
  <si>
    <t>115101301R00</t>
  </si>
  <si>
    <t>Pohotovost čerp.soupravy, výška 10 m, přítok 500 l</t>
  </si>
  <si>
    <t>Pohotovost čerpací soupravy. Oceňují se všechny dny od ukončení montáže po započetí demontáže čerpací soustavy.
Výpočet:
předpokad čerpání ve dnech =&gt; stanoveno odhadem</t>
  </si>
  <si>
    <t>113107220RAB</t>
  </si>
  <si>
    <t>Odstranění asfaltobetonové vozovky, pl. do 50 m2 - MOK</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</si>
  <si>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96,60*1,39*1,05 =&gt; ÚSEK č.1: délka úseku [m] * prům. šíře rýhy [m] + rezerva 5%</t>
  </si>
  <si>
    <t>Odstranění podkladu nad 50 m2,kam.těžené tl.15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96,60*1,39 =&gt; ÚSEK č.1 (MOK): délka úseku [m] * prům. šíře rýhy [m]</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</si>
  <si>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96,60*1,35*0,5*1,05 =&gt; ÚSEK č.1 (MOK): délka úseku [m] * prům.plocha [m2] * 50% (III. tř. horniny) + 5% rezerva</t>
  </si>
  <si>
    <t>Příplatek za lepivost, 50% celkového objemu výkopu. Do měrných jednotek se udává poměrné množství zeminy, které ulpí v nářadí a o které je snížen celkový výkon stroje.
Výpočet - výměra, rozměr:
68,47 [m3] * 0,50 [%] =&gt; převzaté č. pol. 132201213R00 (Hloubení rýh š.do 200 cm hor.3 do 10 000m3,STROJNĚ)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</si>
  <si>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96,60*1,35*0,5*1,05 =&gt; ÚSEK č.1 (MOK): délka úseku [m] * prům.plocha [m2] * 50% (IV. tř. horniny) + 5% rezerva</t>
  </si>
  <si>
    <t>Příplatek za lepivost, 25% celkového objemu výkopu. Do měrných jednotek se udává poměrné množství zeminy, které ulpí v nářadí a o které je snížen celkový výkon stroje.
Výpočet - výměra, rozměr:
68,47 [m3] * 0,25 [%] =&gt; převzaté č. pol. 132301213R00 (Hloubení rýh v hor.4 do 10 000m3,STROJNĚ) * 25% z výkopku</t>
  </si>
  <si>
    <t>151101101R00</t>
  </si>
  <si>
    <t>Pažení a rozepření stěn rýh - příložné - hl.do 2 m</t>
  </si>
  <si>
    <t>Pažení a rozepření stěny rýhy - příložné - hl. do 2 m. D+M
Výpočet - výměra, rozměr:
96,60*1,81*2*0,60 =&gt; délka trasy / úseku [m] * průměrná výška [m] * počet stěn [ks] - 60% z toho</t>
  </si>
  <si>
    <t>151101111R00</t>
  </si>
  <si>
    <t>Odstranění pažení stěn rýh - příložné - hl. do 2 m</t>
  </si>
  <si>
    <t>Odstranění pažení a rozepření stěny rýhy - příložné - hl. do 2 m. D+M
Výpočet - výměra, rozměr:
96,60*1,81*2*0,60 =&gt; délka trasy / úseku [m] * průměrná výška [m] * počet stěn [ks] - 60% z toho</t>
  </si>
  <si>
    <t>Platí pro hloubky výkopu od 1 do 2,5 m bez naložení do dopravní nádoby, ale s vyprázdněním dopravní nádoby na hromadu nebo na doopravní prostředek - hloubení rýh objemu do 1 000 m3 (globální stavba): 8 %
viz. TABULKA TĚŽITELNOSTI HORNIN
Výpočet - výměra, rozměr:
(68,47+68,47)*0,08 =&gt; součet výkopů I. až IV. tř.  *  8 % (stanoveno z tabulky pro určení podílu svislého přemístění)</t>
  </si>
  <si>
    <t>Platí pro hloubky výkopu od 1 do 2,5 m bez naložení do dopravní nádoby, ale s vyprázdněním dopravní nádoby na hromadu nebo na doopravní prostředek - hloubení rýh objemu do 1 000 m3 (globální stavba): 8 %
viz. TABULKA TĚŽITELNOSTI HORNIN
Výpočet - výměra, rozměr:
(5,00+3,00)*0,08 =&gt; součet výkopů V. až VII. tř.  *  8 %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</si>
  <si>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(68,47+68,47) =&gt; celkový výkop hor. tř. I.-IV. [m3]
-41,59 =&gt; odečet kubatury zeminy potřebné k zásypu [m3]</t>
  </si>
  <si>
    <t>Po suchu, bez naložení výkopku, avšak se složením bez rozhrnutí, zpáteční cesta vozidla.
Předpoklad uložení - skládka (Skládka Henčov - SMJ s.r.o., Jihlava, ul. Škroupova - Skládka Henčov = 7,0 km).
Výpočet - výměra, rozměr:
5,00+3,00 =&gt; součet výkopků tř. V. až VII. [m3]</t>
  </si>
  <si>
    <t>Naložení a složení výkopku tř. 1. až 4. z mezideponie pro zásyp rýhy.
Výpočet - výměra, rozměr:
2*41,59 =&gt; počet nakládání / skládání [-] * kubatura horniny tř. I. - IV. potřebná pro zásyp [m3]</t>
  </si>
  <si>
    <t>Položka obsahuje naložení, odvoz výkopku na mezideponii, složení výkopku a zpáteční cestu.
Výpočet - výměra, rozměr:
2*41,59 =&gt; 1x odvoz + 1x dovoz [-] * kubatura horniny tř. I. - IV. potřebná pro zásyp [m3]</t>
  </si>
  <si>
    <t>Obsyp hutnitelným nesoudržným materiálem (f = 0-4 mm pro PE) , pro jakoukoliv hloubku výkopu a jakoukoliv míru zhutnění, včetně dodávky obsypového materiálu. D+M
viz. PODÉLNÉ PROFILY
Výpočet - výměra, rozměr:
0,46*96,60*1,05 =&gt; OBSYP POTRUBÍ: plocha obsypu [m2] * délka úseku / řadu [m] + rezerva 5%
-(3,14*0,045^2*96,60) =&gt; odečet kubatury vytlačené potrubím [m3]</t>
  </si>
  <si>
    <t>Zásyp jam, rýh, šachet se zhutněním z jakékoliv horniny (tř. I - IV.) s uložením výkopku po vrtstvách, max. velikost kamene 100 mm, přebytečná zemina odvezena na skládku:
viz. PODÉLNÉ PROFILY
Výpočet - výměra, rozměr:
96,60*0,41*1,05 =&gt; ÚSEK č.1 (MOK): délka úseku [m] * prům.pl. zásypu [m2]  + 5% rezerva na zhutnění</t>
  </si>
  <si>
    <t>1 m3 =&gt; cca 2 t</t>
  </si>
  <si>
    <t>Zhutnění podloží pod potrubím válcem.
Výpočet - výměra, rozměr:
96,60*0,90*1,10 =&gt; délka řadu [m] * prům. šířka lože / dna rýhy [m] + 10% rezerva</t>
  </si>
  <si>
    <t>Drenážní (odvodňovací) potrubí DN 80, lože ze štěrkopísku (f = 4 - 16 mm), obalení potrubí geotextilií, uložení do rýhy, obsyp štěrkem (f = 32 - 64 mm). D+M
Rezerva pro případ odvodnění.</t>
  </si>
  <si>
    <t>Vodorovné nosné konstrukce (pro inženýrské stavby)</t>
  </si>
  <si>
    <t>421373121R00</t>
  </si>
  <si>
    <t>Osaz. podkl. a opěr. desek bet. zajišť. bloků, hmotn. do 50kg/ks</t>
  </si>
  <si>
    <t>42_</t>
  </si>
  <si>
    <t>Celkový počet desek, převzato z pol. kódu 59341745</t>
  </si>
  <si>
    <t>Osazení podkladových desek pod šoupátka a hydranty.</t>
  </si>
  <si>
    <t>Lože pod potrubí ze štěrkopísku f = 0-4 mm</t>
  </si>
  <si>
    <t>Zhotovení podkladního lože pod odpadní potrubí z lom. prosívky f = 0 až 4 mm, včetně dodávky prosívky a zhutnění dle postupu dodavatele potrubí. D+M
viz. PODÉLNÉ PROFILY / ULOŽENÍ TRUB
Výpočet - výměra, rozměr:
96,60*0,90*0,15*1,15 =&gt; délka trasy / úseku [m] * planimetrie podsypu [m2] + 15% rezerva na zhutnění (1 m3 prosívky = cca 2,34 t)</t>
  </si>
  <si>
    <t>Podklad ze štěrkodrti, f = 0 - 63 mm, tl. vrstvy 20 cm, včetně dodávky štěrkodrtě. D+M
Výpočet - výměra, rozměr:
96,60*1,39*1,05 =&gt; ÚSEK č.1 (MOK): délka úseku [m] * prům. šíře rýhy [m] + rezerva 5%</t>
  </si>
  <si>
    <t>Podkladní vrstva z kameniva drceného, f = 32 - 63 mm, s výplň.kamen., tl. vrstvy 20 cm, včetně dodávky kameniva. D+M
Výpočet - výměra, rozměr:
96,60*1,39*1,05 =&gt; ÚSEK č.1 (MOK): délka úseku [m] * prům. šíře rýhy [m] + rezerva 5%</t>
  </si>
  <si>
    <t>564861114RT2</t>
  </si>
  <si>
    <t>Podklad ze štěrkodrti po zhutnění tloušťky 23 cm - MOK</t>
  </si>
  <si>
    <t>Provizorní pojízdná vrstva ze štěrkodrti, f = 0 - 32 mm, tl. vrstvy 23 cm, včetně dodávky štěrkodrti. D+M
Výpočet - výměra, rozměr:
96,60*1,39 =&gt; ÚSEK č.1 (MOK): délka úseku [m] * prům. šíře rýhy [m]</t>
  </si>
  <si>
    <t>85</t>
  </si>
  <si>
    <t>Potrubí z trub litinových</t>
  </si>
  <si>
    <t>851601101RT2</t>
  </si>
  <si>
    <t>Montáž potrubí tlakového tvárná litina DN 80</t>
  </si>
  <si>
    <t>85_</t>
  </si>
  <si>
    <t>Montáž potrubí tlakového z tvárné litiny DN 80 v otevřeném výkopu, alt. mimo výkop. M
Položka je určena pro montáž potrubí hrdlového s pružnými spoji těsněnými fólií, ve výkopu. Pro blokované spoje se cena zvýší o 15 - 20 %. V položce nejsou zakalkulovány náklady na dodávku trub; tyto trouby se oceňují ve speciifikaci. 
viz. PODÉLNÝ PROFIL A KLADEČSKÉ SCHÉMA SO
Výpočet - výměra, rozměr:
96,60*1,20 =&gt; délka montáže potrubí [m] + 20% navýšení pro blokované spoje</t>
  </si>
  <si>
    <t>857264121R00</t>
  </si>
  <si>
    <t>Montáž tvarovek litin. odboč. přír. výkop DN 100</t>
  </si>
  <si>
    <t>Výpis trub, tvarovek a armatur:
Položka zahrnuje montáž všech litinových odbočných přírubových tvarovek (T-Kus, LT Kříž, ...) v otevřeném výkopu (kanálu/ šachtě), včetně mezipřír. těsnění, korozivzdorných šroubů, matic a podložek dle TNV 755402 - Výstavba vodovodního potrubí. 
Počet určen z celkového součtu příslušných litinových armatur.</t>
  </si>
  <si>
    <t>857242121R00</t>
  </si>
  <si>
    <t>Montáž tvarovek litin. jednoos.přír. výkop DN 80</t>
  </si>
  <si>
    <t>857262121R00</t>
  </si>
  <si>
    <t>Montáž tvarovek litin. jednoos. přír. výkop DN 100</t>
  </si>
  <si>
    <t>Výpis trub, tvarovek a armatur:
Položka zahrnuje montáž všech litinových jednossých přírubových tvarovek (FF-kus, FFR-kus, LT-Spojka, přírubové koleno, ...) v otevřeném výkopu (štole / šachtě), včetně mezipřír. těsnění, korozivzdorných šroubů, matic a podložek dle TNV 755402 - Výstavba vodovodního potrubí. Počet určen z celkového součtu příslušných litinových armatur.</t>
  </si>
  <si>
    <t>892241111R00</t>
  </si>
  <si>
    <t>Tlaková zkouška vodovodního potrubí DN 80</t>
  </si>
  <si>
    <t>V položce jsou započteny náklady na přísun, montáž, demontáž a odsun zkoušecího čerpadla, napuštění tlakovou vodou a dodání vody pro tlakovou zkoušku.
Výpočet - výměra, rozměr:
96,60 =&gt; délka potrubí dané dimenze [m]</t>
  </si>
  <si>
    <t>892273111R00</t>
  </si>
  <si>
    <t>Desinfekce vodovodního potrubí DN 80</t>
  </si>
  <si>
    <t>Položka obsahuje napuštění a vypuštění vody, dodání vody a desinfekčního prostředku, náklady na bakteriologický rozbor vody.
Výpočet - výměra, rozměr:
96,60 =&gt; délka potrubí dané dimenze [m]</t>
  </si>
  <si>
    <t>Dodávka a uložení výstražné fólie, bílé (modré) barvy s nápisem "VODA" / "VODOVOD" / "POZOR VODA", cca 30 cm nad povrchem potrubí. D+M
Výpočet - výměra, rozměr:
96,60*1,10 =&gt; délka potrubí /úseku/ [m] + rezerva 10%</t>
  </si>
  <si>
    <t>899712111R00</t>
  </si>
  <si>
    <t>Orientační tabulky na zdivu / oplocení</t>
  </si>
  <si>
    <t>Výpis trub, tvarovek a armatur:
Tabulka výstražná 105x150 mm, na zdivu, příp. na oplocení.</t>
  </si>
  <si>
    <t>891261111R00</t>
  </si>
  <si>
    <t>Montáž vodovodních šoupátek ve výkopu DN 100</t>
  </si>
  <si>
    <t>Položka je určena pro montáž vodovodních šoupátek v otevřeném výkopu nebo v šachtách s osazením zemní teleskopické soupravy (bez poklopů). Počet určen z celkového součtu příslušných litinových armatur.</t>
  </si>
  <si>
    <t>891241111R00</t>
  </si>
  <si>
    <t>Montáž vodovodních šoupátek ve výkopu DN 80</t>
  </si>
  <si>
    <t>899401112R00</t>
  </si>
  <si>
    <t>Osazení poklopů litinových šoupátkových</t>
  </si>
  <si>
    <t>V položkách osazení poklopů jsou zakalkulovány i náklady na jejich podezdění.</t>
  </si>
  <si>
    <t>899401113R00</t>
  </si>
  <si>
    <t>Osazení poklopů litinových hydrantových</t>
  </si>
  <si>
    <t>891247111R00</t>
  </si>
  <si>
    <t>Montáž hydrantů podzemních DN 80</t>
  </si>
  <si>
    <t>Položka je určena pro montáž hydrantů podzemních (bez osazení poklopů) na potrubí.</t>
  </si>
  <si>
    <t>891249111R00</t>
  </si>
  <si>
    <t>Montáž navrtávacích pasů DN 80</t>
  </si>
  <si>
    <t>Položka je určena pro montáž navrtávacích pasů dané světlosti.</t>
  </si>
  <si>
    <t>891269111R00.1</t>
  </si>
  <si>
    <t>Demontáž navrtávacích pasů DN 100</t>
  </si>
  <si>
    <t>Položka je určena pro demontáž navrtávacích pasů s ventilem Jt 1 MPa na potrubí z trub osinkocementových, litinových, ocelových nebo plastckých hmot. V položce jsou zakalkulovány i náklady na jejich demontáž a výkop montážních jamek a likvidaci demontovaného materiálu.
Výpočet - výměra, rozměr:
2 =&gt; počet [ks] k demontáži</t>
  </si>
  <si>
    <t>899401112R00.1</t>
  </si>
  <si>
    <t>Demontáž poklopů litinových šoupátkových</t>
  </si>
  <si>
    <t>V položce je započtena demontáž litinových šoupatkových poklopů včetně likvidace poklopu na skládce.
Výpočet - výměra, rozměr:
2 =&gt; počet [ks] k demontáži</t>
  </si>
  <si>
    <t>891186331R00</t>
  </si>
  <si>
    <t>Montáž soupr. zemní teleskop. k šoupátku ve výkopu DN 50-250</t>
  </si>
  <si>
    <t>Výpočet - výměra, rozměr:
171,21*0,75 =&gt; celková hmotnost odebraných konstrukcí komunikací [t]  =&gt; z toho prům. 75%</t>
  </si>
  <si>
    <t>Přesun hmot, komunikace z kameniva, příplatek 1 km - odvoz na skládku dle výběru investora (Pístov, Jihlava, ul. Škroupova - Pístov = 5,0 km).
Výpočet - výměra, rozměr:
5*171,21*0,75 =&gt; počet km [-] * celk. odebraná hmotnost vrstev komunikace [t] =&gt; z toho 75%</t>
  </si>
  <si>
    <t>Přesun hmot, kryt živičný (1 km) - odvoz na skládku dle výběru investora (Pístov, Jihlava, ul. Škroupova - Pístov = 5,0 km).
Výpočet - výměra, rozměr:
5*171,21*0,25 =&gt; počet km [-] * celk. odebraná hmotnost vrstev komunikace [t] =&gt; z toho 25%</t>
  </si>
  <si>
    <t>998273101R00</t>
  </si>
  <si>
    <t>Přesun hmot, trubní vedení litinové, otevř. výkop</t>
  </si>
  <si>
    <t>Přesun hmot, trubní vedení litinové - lože, obsypy</t>
  </si>
  <si>
    <t>H28</t>
  </si>
  <si>
    <t>Vedení elektrická a dráhy visuté</t>
  </si>
  <si>
    <t>998289011R00</t>
  </si>
  <si>
    <t>Přesun hmot pro kabelovody jakéhokoliv rozsahu</t>
  </si>
  <si>
    <t>H28_</t>
  </si>
  <si>
    <t>H31</t>
  </si>
  <si>
    <t>Hydromeliorace</t>
  </si>
  <si>
    <t>H31_</t>
  </si>
  <si>
    <t>M21</t>
  </si>
  <si>
    <t>Elektromontáže</t>
  </si>
  <si>
    <t>210292021R00</t>
  </si>
  <si>
    <t>Uložení vyhledávacího vodiče CYY 6mm2, přípolož k potrubí</t>
  </si>
  <si>
    <t>M21_</t>
  </si>
  <si>
    <t>Přípevnění vytyčovacího vodiče CYY 6 mm2 k řadu. Montáž bez dodávky materiálu. M
Výpočet - výměra, rozměr:
96,60*1,10 =&gt; celková délka potrubí [m] + rezerva 10%  (viz. položka 34141303 - Vodič signalizační CYY 6,0 mm2)</t>
  </si>
  <si>
    <t>M22</t>
  </si>
  <si>
    <t>Montáže sdělovací a zabezpečovací techniky</t>
  </si>
  <si>
    <t>220060470R00.1</t>
  </si>
  <si>
    <t>Zaslepení konce HDPE DN 50</t>
  </si>
  <si>
    <t>M22_</t>
  </si>
  <si>
    <t>Zaslepení konce HDPE DN 50 elektrovíčkem - odtavení stávajících vodovodních přípojek, včetně dodávky elektrovíčka PE d 63 mm. D+M
Výpočet - výměra, rozměr:
2 =&gt; počet zaslepovaných přípojek [ks]</t>
  </si>
  <si>
    <t>M23</t>
  </si>
  <si>
    <t>Montáže potrubí</t>
  </si>
  <si>
    <t>230032029R00</t>
  </si>
  <si>
    <t>Montáž přírubových spojů do PN 16, DN 80</t>
  </si>
  <si>
    <t>M23_</t>
  </si>
  <si>
    <t>Položka zahrnuje montáž otočných přírub, příp. zaslepovacích přírub ve výkopu.
Počet určen z celkového součtu příslušných armatur / tvarovek.</t>
  </si>
  <si>
    <t>M999VD</t>
  </si>
  <si>
    <t>999000001VD</t>
  </si>
  <si>
    <t>Montáž opravných třmenů (DN 80 až DN 200)</t>
  </si>
  <si>
    <t>M999VD_</t>
  </si>
  <si>
    <t>Montáž opravných třmenů (DN 80 až DN 200). Položka obsahuje náklady na montáž opravných litinových, příp. nerezových třmenů dané dimenze. V položce jsou započteny náklady na provedení spoje. M
Výpočet - výměra, rozměr:
2 =&gt; počet montáží opravných třmenů [ks]</t>
  </si>
  <si>
    <t>999000002VD</t>
  </si>
  <si>
    <t>Montáž spojek pro nesourodá potrubí DN 100</t>
  </si>
  <si>
    <t>Montáž spojek pro nesourodá potrubí DN 100. M
Výpočet - výměra, rozměr:
2 =&gt; počet spojek [ks]</t>
  </si>
  <si>
    <t>999000100VD</t>
  </si>
  <si>
    <t>Příplatek za ochranu potrubí, tvarovek a armatur proti bludným proudům antikorozní izolační páskou / hmotou na bázi petrolátu</t>
  </si>
  <si>
    <t>Příplatek za ochranu potrubí, tvarovek a armatur proti bludným proudům antikorozní izolační páskou / hmotou na bázi petrolátu. D+M
Veškeré přírubové spoje a armatury uložené v zemi budou opatřeny antikorozní izolační páskou na bázi petrolátu podle DIN 30672 a DIN EN 12068 z důvodu výskytu (stávajícího i budoucího) trakčního /trolejového/ vedení. 
Izolační páska se předepisuje pro dodatečné zvýšení antikorozní ochrany spojů, armatur a před vlivem koroze způsobených bludnými proudy.
Výpočet - výměra, rozměr:
96,60*1,15 =&gt; délka potrubí [m] + rezerva 15% na armatury</t>
  </si>
  <si>
    <t>5525116020</t>
  </si>
  <si>
    <t>Trouba litinová vodovodní OCM, DN 80 mm, spoj BLS</t>
  </si>
  <si>
    <t>Hrdlová trouba z tvárné litiny s hladkým koncem dle ČSN EN 545. Kombinace těsnění Tyton se zajišťovacími segmenty BLS. Volný konec trouby opatřen roznášecím návarkem, obal z plasticky modifikované pigmentové cementové malty (vysokopecní cement) OCM nanesen na pozinkovaný povrch 200 g/m2 a vyztužen plastovým bandážovým materiálem. Uvnitř vyložení z cementové malty z vysokopecního cementu VCM hrdla trub jsou zevnitř pozinkována a pokryta epoxidovým povlakem  použití v silně agresivních půdách, v podmínkách bez korozního průzkumu a při výskytu bludných proudů. Možnost dodatečného dokoupení jistícího svěracího kroužku pro krácené trouby bez návarku.
Výpočet - výměra, rozměr:
96,60 =&gt; celková délka potrubí [m] + ztratné 5% na prořezy, krácení apod.
+ ztratné 5%; 4,83</t>
  </si>
  <si>
    <t>55259500</t>
  </si>
  <si>
    <t>Koleno s jedním hrdlem litinové - MK DN 80 / 11°</t>
  </si>
  <si>
    <t>55259710</t>
  </si>
  <si>
    <t>Přesuvka hrdlová - U-Kus DN 80, LT, Lu = 160 mm</t>
  </si>
  <si>
    <t>55259730</t>
  </si>
  <si>
    <t>Tvarovka přírubová s hrdlem - E-Kus, DN 80, Lu = 130 mm</t>
  </si>
  <si>
    <t>5525852703</t>
  </si>
  <si>
    <t>Tvarovka přírubová litinová s hladkým koncem - F-KUS, DN 80</t>
  </si>
  <si>
    <t>77</t>
  </si>
  <si>
    <t>81000013VD</t>
  </si>
  <si>
    <t>T DN 100/100, T-Kus přírubový, LT</t>
  </si>
  <si>
    <t>78</t>
  </si>
  <si>
    <t>81000008VD</t>
  </si>
  <si>
    <t>T DN 80/80, T-Kus přírubový, LT</t>
  </si>
  <si>
    <t>79</t>
  </si>
  <si>
    <t>81100009VD</t>
  </si>
  <si>
    <t>FFR DN 100/80, přírubová tvarovka - redukce, LT</t>
  </si>
  <si>
    <t>80</t>
  </si>
  <si>
    <t>81300021VD</t>
  </si>
  <si>
    <t>FF-Kus, Dvoupřírubový kus, DN 80, LT, Lu = 200 mm</t>
  </si>
  <si>
    <t>81</t>
  </si>
  <si>
    <t>81400002VD</t>
  </si>
  <si>
    <t>Prodloužené koleno, přír. s patkou, dlouhé DN 80, LT</t>
  </si>
  <si>
    <t>82</t>
  </si>
  <si>
    <t>899VD</t>
  </si>
  <si>
    <t>HRDLOVÁ SPOJKA S PŘÍRUBOU, LT DN 100</t>
  </si>
  <si>
    <t>83</t>
  </si>
  <si>
    <t>42227205.1</t>
  </si>
  <si>
    <t>Šoupátko přírubové LT, F4, DN 100 s vnějším povlakem PUR</t>
  </si>
  <si>
    <t>84</t>
  </si>
  <si>
    <t>42227204.1</t>
  </si>
  <si>
    <t>Šoupátko přírubové LT, F4, DN 80 s vnějším povlakem PUR</t>
  </si>
  <si>
    <t>83000020VD</t>
  </si>
  <si>
    <t>Zemní teleskop. souprava, DN 50/100 (1,3-1,8m)</t>
  </si>
  <si>
    <t>86</t>
  </si>
  <si>
    <t>83000023VD</t>
  </si>
  <si>
    <t>Poklop uliční šoupátkový samonivelační - LT, D400</t>
  </si>
  <si>
    <t>83000024VD</t>
  </si>
  <si>
    <t>Podkladová deska pro šoupátko</t>
  </si>
  <si>
    <t>88</t>
  </si>
  <si>
    <t>83000028VD</t>
  </si>
  <si>
    <t>Hydrant duo podzemní, 80/1,25 m</t>
  </si>
  <si>
    <t>83000032VD</t>
  </si>
  <si>
    <t>Poklop litinový hydrantový samonivelační, LT, D400</t>
  </si>
  <si>
    <t>90</t>
  </si>
  <si>
    <t>83000033VD</t>
  </si>
  <si>
    <t>Podkladová deska hydrantová</t>
  </si>
  <si>
    <t>91</t>
  </si>
  <si>
    <t>899000000VD</t>
  </si>
  <si>
    <t>DRENÁŽNÍ PODMOK POD HYDRANT</t>
  </si>
  <si>
    <t>Dodávka včetně montáže ve výkopu. D+M</t>
  </si>
  <si>
    <t>92</t>
  </si>
  <si>
    <t>83500402VD</t>
  </si>
  <si>
    <t>Univerzální navrtávací uzávěrový pas pro LT, OC - DN 80 / ZAK 46</t>
  </si>
  <si>
    <t>93</t>
  </si>
  <si>
    <t>83500401VD</t>
  </si>
  <si>
    <t>Univerzální navrtávací uzávěrový pas pro LT, OC - DN 80 / ZAK 34</t>
  </si>
  <si>
    <t>94</t>
  </si>
  <si>
    <t>83500207VD</t>
  </si>
  <si>
    <t>ŠOUPÁTKO DOMOVNÍ PŘÍPOJKY- ZAK46 / PE d 63</t>
  </si>
  <si>
    <t>95</t>
  </si>
  <si>
    <t>83500202VD</t>
  </si>
  <si>
    <t>ŠOUPÁTKO DOMOVNÍ PŘÍPOJKY- ZAK34 / PE d 32</t>
  </si>
  <si>
    <t>96</t>
  </si>
  <si>
    <t>83500066VD</t>
  </si>
  <si>
    <t>Zemní teleskop. souprava, DN 20 - DN 50 (3/4"-2") (1,3-1,8mm)</t>
  </si>
  <si>
    <t>Podkladová deska pro dom. šoupátko</t>
  </si>
  <si>
    <t>98</t>
  </si>
  <si>
    <t>42200740</t>
  </si>
  <si>
    <t>Poklop uliční pro dom. šoupátko, samonivelační - voda</t>
  </si>
  <si>
    <t>99</t>
  </si>
  <si>
    <t>910000750VD</t>
  </si>
  <si>
    <t>Podpůrný blok pod domovní šoupátko (D+M)</t>
  </si>
  <si>
    <t>Položka obsahuje dodávku a montáž bednícího bloku PZD 890/290/90 mm a podkladního hranolku z měkkého materiálu 290/290/90 mm na 1 ks odbočení. D+M
Výpočet - výměra, rozměr:
4 =&gt; navrhovaný počet odbočení [ks]</t>
  </si>
  <si>
    <t>100</t>
  </si>
  <si>
    <t>899999081VD</t>
  </si>
  <si>
    <t>Třmen opravný litinový DN 100</t>
  </si>
  <si>
    <t>101</t>
  </si>
  <si>
    <t>55260023</t>
  </si>
  <si>
    <t>Příruba zaslepovací - X, LT, DN 80</t>
  </si>
  <si>
    <t>102</t>
  </si>
  <si>
    <t>34141303</t>
  </si>
  <si>
    <t>Vodič signalizační CYY 6,0 mm2</t>
  </si>
  <si>
    <t>Signalizační vodič k vytyčení vodovodní sítě.
Výpočet - výměra, rozměr:
96,60 =&gt; celková délka potrubí [m] + ztratné 10%</t>
  </si>
  <si>
    <t>103</t>
  </si>
  <si>
    <t>34572308</t>
  </si>
  <si>
    <t>Pásky stahovací SP 280 x 4,5 mm, PA</t>
  </si>
  <si>
    <t>100 ks</t>
  </si>
  <si>
    <t>Stahovací pásky k uchycení vytyčovacího vodiče CYY 6 mm2. D
1 ks á 2,0 m</t>
  </si>
  <si>
    <t>104</t>
  </si>
  <si>
    <t>59341745</t>
  </si>
  <si>
    <t>Deska strop. plná PZD 74/29/9  P5 - prefabr. pro zajišť. bloky vod. potr.</t>
  </si>
  <si>
    <t>Deska stropní plná PZD 74/29/9  P5, opěra pro příslušnou tvarovku vod. potrubí pro přenos vodorovné síly vyvolané tokem vody v potrubím do bloku, příp. svislé síly vyvolané nadložím či dopravou.
Počet prefabrikátů pro jednotlivé případy :
PZD 74/29/9 - 5 ks/ 1 ks bloku pro odbočku - celkem 2 odbočky 
PZD 74/29/9 - 3 ks/ 1 ks bloku pro hydrant (pateční koleno) - celkem 1 hydrant
PZD 74/29/9 - 2 ks/ 1 ks bloku pro směrový lom větší než 10 st. - celkem 10 lomů
PZD 74/29/9 - 0 ks/ 1 ks bloku pro směrový lom menší než 10 st. - celkem 0 lomů (vytočeno potrubím)</t>
  </si>
  <si>
    <t>105</t>
  </si>
  <si>
    <t>60596002</t>
  </si>
  <si>
    <t>Řezivo - fošny, hranoly - bloky na vodovodním potrubí</t>
  </si>
  <si>
    <t>Dřevěné hranoly, podpěry a opěry fixačního bloku vodovodního potrubí.
viz.: výkres Betonové zajišťovací bloky, celková kubatura řeziva pro stavbu
0,1*0,2*0,1*(5*2) =&gt; bloků pro odbočku
0,1*0,2*0,1*(3*1) =&gt; bloků pro hydrant
0,1*0,2*0,1*(4*6) =&gt; blok směrový větší než 10 st.
0,15*0,15*0,8*4*(2*4) =&gt; bloků vertik.
D+M, včetně montáže ve výkopu</t>
  </si>
  <si>
    <t>Stavba je běžného charakteru s nárokem na koordinaci prací.</t>
  </si>
  <si>
    <t>DSO 301.II. VODOVODNÍ ŘAD - II. ETAPA</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</si>
  <si>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3,40*1,39*1,05 =&gt; ÚSEK č.2: délka úseku [m] * prům. šíře rýhy [m] + rezerva 5%</t>
  </si>
  <si>
    <t>Odstranění podkladu nad 50 m2,kam.těžené tl.15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3,40*1,39 =&gt; ÚSEK č.2 (MOK): délka úseku [m] * prům. šíře rýhy [m]</t>
  </si>
  <si>
    <t>Odstranění asfaltobetonové vozovky, pl. do 50 m2 - KSÚSV</t>
  </si>
  <si>
    <t>Odstranění stávajícího krytu přijezdné komunikace, včetně nakládání a odvozu na skládku do 1 km, započítaná i zpáteční cesta. 
Položka obsahuje: 
- řezání živičného krytu tl. 5 cm, 
- odstranění asfaltbetonového krytu tl. 6 cm 
- řezání podkladního asfaltobetonu tl. 7 cm 
- odstranění podkladního asfaltobetonu tl. 7 cm 
- odstranění kameniva zpevněného cementem tl. 15 cm 
- odstranění štěrkodrti tl. 32 cm 
- nakládání suti 
- vodorovná doprava suti do 1 km (položka neobsahuje poplatek za skládku)
Výpočet - výměra, rozměr:
7,80*1,39*1,05 =&gt; ÚSEK č.2: délka úseku [m] * prům. šíře rýhy [m] + rezerva 5%</t>
  </si>
  <si>
    <t>113107323R00</t>
  </si>
  <si>
    <t>Odstranění podkladu pl. do 50 m2,kam.těžené tl.23 cm - KSÚSV</t>
  </si>
  <si>
    <t>Odstranění podkladu do 50 m2,kam.těžené tl.23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7,80*1,39 =&gt; ÚSEK č.2: délka úseku [m] * prům. šíře rýhy [m]</t>
  </si>
  <si>
    <t>Odstranění stávajícího krytu komunikace KSÚSV, včetně nakládání a odvozu na skládku do 1 km, započítaná i zpáteční cesta. 
Položka obsahuje: 
- řezání živičného krytu tl. 5 cm, 
- odstranění asfaltbetonového krytu tl. 6 cm 
- řezání podkladního asfaltobetonu tl. 7 cm 
- odstranění podkladního asfaltobetonu tl. 12 cm 
- nakládání suti 
- vodorovná doprava suti do 1 km (položka neobsahuje poplatek za skládku)
Výpočet - výměra, rozměr:
7,80*(2*0,50)*1,05 =&gt; ÚSEK č.2 - OPRAVA VOZOVKY: délka úseku [m] * šíře zářezu [m] + rezerva 5%</t>
  </si>
  <si>
    <t>121101101R00</t>
  </si>
  <si>
    <t>Sejmutí ornice s přemístěním do 50 m</t>
  </si>
  <si>
    <t>Sejmutí ornice s přemístěním do 50 m, uložením na dočasnou skládku. M+D
Výpočet - výměra, rozměr: 
1,20*1,39*0,20*1,05 =&gt; délka úseku nezpevněné plochy [m] * prům. šíře rýhy [m] * tl. vrstvy [m] + 5% rezerva</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</si>
  <si>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3,40*1,35*0,50*1,05 =&gt; ÚSEK č.2 (MOK): délka úseku [m] * prům.plocha [m2] * 50% (III. tř. horniny) + 5% rezerva
7,80*1,01*0,50*1,05 =&gt; ÚSEK č.2 (KSÚSV): délka úseku [m] * prům.plocha [m2] * 50% (III. tř. horniny) + 5% rezerva
1,20*1,80*0,50*1,05 =&gt; ÚSEK č.2 (NZP): délka úseku [m] * prům.plocha [m2] * 50% (III. tř. horniny) + 5% rezerva</t>
  </si>
  <si>
    <t>Příplatek za lepivost, 50% celkového objemu výkopu. Do měrných jednotek se udává poměrné množství zeminy, které ulpí v nářadí a o které je snížen celkový výkon stroje.
Výpočet - výměra, rozměr:
7,68 [m3] * 0,50 [%] =&gt; převzaté č. pol. 132201213R00 (Hloubení rýh š.do 200 cm hor.3 do 10 000m3,STROJNĚ)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</si>
  <si>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3,40*1,35*0,50*1,05 =&gt; ÚSEK č.2 (MOK): délka úseku [m] * prům.plocha [m2] * 50% (IV. tř. horniny) + 5% rezerva
7,80*1,01*0,50*1,05 =&gt; ÚSEK č.2 (KSÚSV): délka úseku [m] * prům.plocha [m2] * 50% (IV. tř. horniny) + 5% rezerva
1,20*1,80*0,50*1,05 =&gt; ÚSEK č.2 (NZP): délka úseku [m] * prům.plocha [m2] * 50% (IV. tř. horniny) + 5% rezerva</t>
  </si>
  <si>
    <t>Příplatek za lepivost, 25% celkového objemu výkopu. Do měrných jednotek se udává poměrné množství zeminy, které ulpí v nářadí a o které je snížen celkový výkon stroje.
Výpočet - výměra, rozměr:
7,68 [m3] * 0,25 [%] =&gt; převzaté č. pol. 132301213R00 (Hloubení rýh v hor.4 do 10 000m3,STROJNĚ) * 25% z výkopku</t>
  </si>
  <si>
    <t>Pažení a rozepření stěny rýhy - příložné - hl. do 2 m. D+M
Výpočet - výměra, rozměr:
12,40*1,81*2*0,60 =&gt; délka trasy / úseku [m] * průměrná výška [m] * počet stěn [ks] - 60% z toho</t>
  </si>
  <si>
    <t>Odstranění pažení a rozepření stěny rýhy - příložné - hl. do 2 m. D+M
Výpočet - výměra, rozměr:
12,40*1,81*2*0,60 =&gt; délka trasy / úseku [m] * průměrná výška [m] * počet stěn [ks] - 60% z toho</t>
  </si>
  <si>
    <t>Platí pro hloubky výkopu od 1 do 2,5 m bez naložení do dopravní nádoby, ale s vyprázdněním dopravní nádoby na hromadu nebo na doopravní prostředek - hloubení rýh objemu do 1 000 m3 (globální stavba): 8 %
viz. TABULKA TĚŽITELNOSTI HORNIN
Výpočet - výměra, rozměr:
(7,68+7,68)*0,08 =&gt; součet výkopů I. až IV. tř.  *  8 % (stanoveno z tabulky pro určení podílu svislého přemístění)</t>
  </si>
  <si>
    <t>Platí pro hloubky výkopu od 1 do 2,5 m bez naložení do dopravní nádoby, ale s vyprázdněním dopravní nádoby na hromadu nebo na doopravní prostředek - hloubení rýh objemu do 1 000 m3 (globální stavba): 8 %
viz. TABULKA TĚŽITELNOSTI HORNIN
Výpočet - výměra, rozměr:
(3,00+4,75)*0,08 =&gt; součet výkopů V. až VII. tř.  *  8 %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</si>
  <si>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(7,68+7,68) =&gt; celkový výkop hor. tř. I.-IV. [m3]
-6,33 =&gt; odečet kubatury zeminy potřebné k zásypu [m3]</t>
  </si>
  <si>
    <t>Po suchu, bez naložení výkopku, avšak se složením bez rozhrnutí, zpáteční cesta vozidla.
Předpoklad uložení - skládka (Skládka Henčov - SMJ s.r.o., Jihlava, ul. Škroupova - Skládka Henčov = 7,0 km).
Výpočet - výměra, rozměr:
3,00+4,75 =&gt; součet výkopků tř. V. až VII. [m3]</t>
  </si>
  <si>
    <t>Naložení a složení výkopku tř. 1. až 4. z mezideponie pro zásyp rýhy.
Výpočet - výměra, rozměr:
2*6,33 =&gt; počet nakládání / skládání [-] * kubatura horniny tř. I. - IV. potřebná pro zásyp [m3]</t>
  </si>
  <si>
    <t>162401101R00</t>
  </si>
  <si>
    <t>Vodorovné přemístění výkopku z hor.1-4 do 1500 m - odvozy na mezideponii</t>
  </si>
  <si>
    <t>Položka obsahuje naložení, odvoz výkopku na mezideponii, složení výkopku a zpáteční cestu.
Výpočet - výměra, rozměr:
2*6,33 =&gt; 1x odvoz + 1x dovoz [-] * kubatura horniny tř. I. - IV. potřebná pro zásyp [m3]</t>
  </si>
  <si>
    <t>167101101R00.1</t>
  </si>
  <si>
    <t>Nakládání, skládání, překládání ornice v množství do 100 m3</t>
  </si>
  <si>
    <t>Nakládání, skládání, překládání ornice v množství do 100 m3 na / (z) mezideponii(e).
Výpočet - výměra, rozměr:
2*0,35 =&gt; počet nakládání / skládání [-] * kubatura ornice [m3]</t>
  </si>
  <si>
    <t>162100010RA0.1</t>
  </si>
  <si>
    <t>Vodorovné přemístění ornice - odvoz, dovoz - mezideponie</t>
  </si>
  <si>
    <t>Vodorovné přemístění ornice - odvoz / dovoz - mezideponie.
Výpočet - výměra, rozměr:
2*0,35 =&gt; počet přesunů 1x odvoz, 1x dovoz [-] * kubatura ornice [m3]</t>
  </si>
  <si>
    <t>Obsyp hutnitelným nesoudržným materiálem (f = 0-4 mm pro PE) , pro jakoukoliv hloubku výkopu a jakoukoliv míru zhutnění, včetně dodávky obsypového materiálu. D+M
viz. PODÉLNÉ PROFILY
Výpočet - výměra, rozměr:
0,46*12,40*1,05 =&gt; OBSYP POTRUBÍ: plocha obsypu [m2] * délka úseku / řadu [m] + rezerva 5%
-(3,14*0,045^2*12,40) =&gt; odečet kubatury vytlačené potrubím [m3]</t>
  </si>
  <si>
    <t>Zásyp jam, rýh, šachet se zhutněním z jakékoliv horniny (tř. I - IV.) s uložením výkopku po vrtstvách, max. velikost kamene 100 mm, přebytečná zemina odvezena na skládku:
viz. PODÉLNÉ PROFILY
Výpočet - výměra, rozměr:
3,40*0,41*1,05 =&gt; ÚSEK č.2 (MOK): délka úseku [m] * prům.pl. zásypu [m2]  + 5% rezerva na zhutnění
7,80*0,41*1,05 =&gt; ÚSEK č.2 (KSÚSV): délka úseku [m] * prům.pl. zásypu [m2]  + 5% rezerva na zhutnění
1,20*1,20*1,05 =&gt; ÚSEK č.2 (NZP): délka úseku [m] * prům.pl. zásypu [m2]  + 5% rezerva na zhutnění</t>
  </si>
  <si>
    <t>Povrchové úpravy terénu</t>
  </si>
  <si>
    <t>181300012RAA</t>
  </si>
  <si>
    <t>Rozprostření ornice v rovině tloušťka 20 cm</t>
  </si>
  <si>
    <t>18_</t>
  </si>
  <si>
    <t>Rozprostření sejmuté ornice v rovině nebo ve svahu  do 1 : 5 s urovnáním, vyhrabáním větších kamenů, dovoz ornice ze vzdálenosti 500 m, osetí trávou včetně dodání osiva.
Výpočet - výměra, rozměr:
1,20*1,39*1,05 =&gt; délka úseku nezpevněné plochy [m] * prům. šíře rýhy [m] + 5% rezerva</t>
  </si>
  <si>
    <t>Zhutnění podloží pod potrubím válcem.
Výpočet - výměra, rozměr:
12,40*0,90*1,10 =&gt; délka řadu [m] * prům. šířka lože / dna rýhy [m] + 10% rezerva</t>
  </si>
  <si>
    <t>Zhotovení podkladního lože pod odpadní potrubí z lom. prosívky f = 0 až 4 mm, včetně dodávky prosívky a zhutnění dle postupu dodavatele potrubí. D+M
viz. PODÉLNÉ PROFILY / ULOŽENÍ TRUB
Výpočet - výměra, rozměr:
12,40*0,90*0,15*1,15 =&gt; délka trasy / úseku [m] * planimetrie podsypu [m2] + 15% rezerva na zhutnění (1 m3 prosívky = cca 2,34 t)</t>
  </si>
  <si>
    <t>Podklad ze štěrkodrti, f = 0 - 63 mm, tl. vrstvy 20 cm, včetně dodávky štěrkodrtě. D+M
Výpočet - výměra, rozměr:
3,40*1,22*1,05 =&gt; ÚSEK č.2 (MOK): délka úseku [m] * prům. šíře rýhy [m] + rezerva 5%</t>
  </si>
  <si>
    <t>Podklad ze štěrkodrti, f = 0 - 63 mm, tl. vrstvy 20 cm, včetně dodávky štěrkodrtě. D+M
Výpočet - výměra, rozměr:
3,40*1,27*1,05 =&gt; ÚSEK č.2 (MOK): délka úseku [m] * prům. šíře rýhy [m] + rezerva 5%</t>
  </si>
  <si>
    <t>Podkladní vrstva z kameniva drceného, f = 32 - 63 mm, s výplň.kamen., tl. vrstvy 20 cm, včetně dodávky kameniva. D+M
Výpočet - výměra, rozměr:
3,40*1,33*1,05 =&gt; ÚSEK č.2 (MOK): délka úseku [m] * prům. šíře rýhy [m] + rezerva 5%</t>
  </si>
  <si>
    <t>Provizorní pojízdná vrstva ze štěrkodrti, f = 0 - 32 mm, tl. vrstvy 23 cm, včetně dodávky štěrkodrti. D+M
Výpočet - výměra, rozměr:
3,40*1,39 =&gt; ÚSEK č.2 (MOK): délka úseku [m] * prům. šíře rýhy [m]</t>
  </si>
  <si>
    <t>564772111R00</t>
  </si>
  <si>
    <t>Podklad z kam.drceného 32-63 s výplň.kamen. 25 cm - KSÚSV</t>
  </si>
  <si>
    <t>Podkladní vrstva z kameniva drceného, f = 32 - 63 mm, s výplň.kamen., tl. vrstvy 25 cm, včetně dodávky kameniva. D+M
Výpočet - výměra, rozměr:
7,80*1,22*1,05 =&gt; ÚSEK č.2: délka úseku [m] * prům. šíře rýhy [m] + rezerva 5%</t>
  </si>
  <si>
    <t>Podklad z kam.drceného 32-63 s výplň.kamen. 20 cm - KSÚSV</t>
  </si>
  <si>
    <t>Podkladní vrstva z kameniva drceného, f = 32 - 63 mm, s výplň.kamen., tl. vrstvy 20 cm, včetně dodávky kameniva. D+M
Výpočet - výměra, rozměr:
7,80*1,39*1,05 =&gt; ÚSEK č.2: délka úseku [m] * prům. šíře rýhy [m] + rezerva 5%</t>
  </si>
  <si>
    <t>Podklad ze štěrkodrti po zhutnění tloušťky 23 cm - KSÚSV</t>
  </si>
  <si>
    <t>Podklad ze štěrkodrti po zhutnění tloušťky 23 cm, vrchní vrstva - dočasná po dobu stavby před opravou komunikace, včetně dodávky štěrkodrti (f = 0 - 32 mm). D+M
Výpočet - výměra, rozměr:
7,80*1,39 =&gt; ÚSEK č.2: délka úseku [m] * prům. šíře rýhy [m]</t>
  </si>
  <si>
    <t>565171113R00</t>
  </si>
  <si>
    <t>Podklad z obal kamen. ACP 16+ / ACP 22+, š. do 3 m, tl.12 cm</t>
  </si>
  <si>
    <t>Podklad z obal kamen. ACP 16+ / ACP 22+, š. do 3 m, tl.12 cm, ložní vrstva komunikace. D+M
Výpočet - výměra, rozměr:
7,80*2,39 =&gt; ÚSEK č.2: délka úseku [m] * prům. šíře rýhy [m]</t>
  </si>
  <si>
    <t>Kryty pozemních komunikací, letišť a ploch z kameniva nebo živičné</t>
  </si>
  <si>
    <t>573231127R00</t>
  </si>
  <si>
    <t>Postřik spojovací z KAE, 0,7 kg/m2 - KSÚSV</t>
  </si>
  <si>
    <t>57_</t>
  </si>
  <si>
    <t>Postřik spojovací z KAE modifikované, 0,7 kg/m2. D+M 
Výpočet - výměra, rozměr:
7,80*2,39 =&gt; ÚSEK č.2: délka úseku [m] * prům. šíře rýhy [m]</t>
  </si>
  <si>
    <t>573231125R00</t>
  </si>
  <si>
    <t>Postřik spojovací z KAE, 0,5 kg/m2 - KSÚSV</t>
  </si>
  <si>
    <t>Postřik spojovací z KAE modifikované, 0,5 kg/m2. D+M 
Výpočet - výměra, rozměr:
7,80*2,39 =&gt; ÚSEK č.2: délka úseku [m] * prům. šíře rýhy [m]</t>
  </si>
  <si>
    <t>577162224R00</t>
  </si>
  <si>
    <t>Beton asfalt. ACL 22+ ložný, š. nad 3 m, tl. 7 cm</t>
  </si>
  <si>
    <t>Beton asfalt. ACL 22+ ložný, š. nad 3 m, tl. 7 cm, vrchní ložná vrstva komunikace. D+M
Výpočet - výměra, rozměr:
7,80*2,39 =&gt; ÚSEK č.2: délka úseku [m] * prům. šíře rýhy [m]</t>
  </si>
  <si>
    <t>577131111R00</t>
  </si>
  <si>
    <t>Beton asfalt. ACO 11+ obrusný, š. do 3 m, tl. 4 cm</t>
  </si>
  <si>
    <t>Beton asfalt. ACO 11+ obrusný, š. do 3 m, tl. 4 cm, vrchní obrusná vrstva komunikace. D+M
Výpočet - výměra, rozměr:
7,80*2,39 =&gt; ÚSEK č.2: délka úseku [m] * prům. šíře rýhy [m]</t>
  </si>
  <si>
    <t>Montáž potrubí tlakového z tvárné litiny DN 80 v otevřeném výkopu, alt. mimo výkop. M
Položka je určena pro montáž potrubí hrdlového s pružnými spoji těsněnými fólií, ve výkopu. Pro blokované spoje se cena zvýší o 15 - 20 %. V položce nejsou zakalkulovány náklady na dodávku trub; tyto trouby se oceňují ve speciifikaci. 
viz. PODÉLNÝ PROFIL A KLADEČSKÉ SCHÉMA SO
Výpočet - výměra, rozměr:
12,40*1,20 =&gt; délka montáže potrubí [m] + 20% navýšení pro blokované spoje</t>
  </si>
  <si>
    <t>V položce jsou započteny náklady na přísun, montáž, demontáž a odsun zkoušecího čerpadla, napuštění tlakovou vodou a dodání vody pro tlakovou zkoušku.
Výpočet - výměra, rozměr:
12,40 =&gt; délka potrubí dané dimenze [m]</t>
  </si>
  <si>
    <t>Položka obsahuje napuštění a vypuštění vody, dodání vody a desinfekčního prostředku, náklady na bakteriologický rozbor vody.
Výpočet - výměra, rozměr:
12,40 =&gt; délka potrubí dané dimenze [m]</t>
  </si>
  <si>
    <t>Dodávka a uložení výstražné fólie, bílé (modré) barvy s nápisem "VODA" / "VODOVOD" / "POZOR VODA", cca 30 cm nad povrchem potrubí. D+M
Výpočet - výměra, rozměr:
12,40*1,10 =&gt; délka potrubí /úseku/ [m] + rezerva 10%</t>
  </si>
  <si>
    <t>Výpočet - výměra, rozměr:
21,76*0,75 =&gt; celková hmotnost odebraných konstrukcí komunikací [t]  =&gt; z toho prům. 75%</t>
  </si>
  <si>
    <t>Přesun hmot, komunikace z kameniva, příplatek 1 km - odvoz na skládku dle výběru investora (Pístov, Jihlava, ul. Škroupova - Pístov = 5,0 km).
Výpočet - výměra, rozměr:
5*21,76*0,75 =&gt; počet km [-] * celk. odebraná hmotnost vrstev komunikace [t] =&gt; z toho 75%</t>
  </si>
  <si>
    <t>998225191R00</t>
  </si>
  <si>
    <t>Přesun hmot, komunikace živičné, příplatek 1 km</t>
  </si>
  <si>
    <t>Přesun hmot, kryt živičný (do 1 km) -  - odvoz na skládku dle výběru investora (Pístov, Jihlava, ul. Škroupova - Pístov = 5,0 km).
Výpočet - výměra, rozměr:
5,0*21,76*0,25 =&gt; počet [km] * celk. odebraná hmotnost vrstev komunikace [t] =&gt; z toho 25%</t>
  </si>
  <si>
    <t>Přípevnění vytyčovacího vodiče CYY 6 mm2 k řadu. Montáž bez dodávky materiálu. M
Výpočet - výměra, rozměr:
12,40*1,10 =&gt; celková délka potrubí [m] + rezerva 10%  (viz. položka 34141303 - Vodič signalizační CYY 6,0 mm2)</t>
  </si>
  <si>
    <t>230032029R00.1</t>
  </si>
  <si>
    <t>Demontáž přírubových spojů do PN 16, DN 80</t>
  </si>
  <si>
    <t>Položka zahrnuje demontáž otočných přírub, příp. zaslepovacích přírub ve výkopu.
Počet určen z celkového součtu příslušných armatur / tvarovek.</t>
  </si>
  <si>
    <t>Příplatek za ochranu potrubí, tvarovek a armatur proti bludným proudům antikorozní izolační páskou / hmotou na bázi petrolátu. D+M
Veškeré přírubové spoje a armatury uložené v zemi budou opatřeny antikorozní izolační páskou na bázi petrolátu podle DIN 30672 a DIN EN 12068 z důvodu výskytu (stávajícího i budoucího) trakčního /trolejového/ vedení. 
Izolační páska se předepisuje pro dodatečné zvýšení antikorozní ochrany spojů, armatur a před vlivem koroze způsobených bludnými proudy.
Výpočet - výměra, rozměr:
12,40*1,15 =&gt; délka potrubí [m] + rezerva 15% na armatury</t>
  </si>
  <si>
    <t>Hrdlová trouba z tvárné litiny s hladkým koncem dle ČSN EN 545. Kombinace těsnění Tyton se zajišťovacími segmenty BLS. Volný konec trouby opatřen roznášecím návarkem, obal z plasticky modifikované pigmentové cementové malty (vysokopecní cement) OCM nanesen na pozinkovaný povrch 200 g/m2 a vyztužen plastovým bandážovým materiálem. Uvnitř vyložení z cementové malty z vysokopecního cementu VCM hrdla trub jsou zevnitř pozinkována a pokryta epoxidovým povlakem  použití v silně agresivních půdách, v podmínkách bez korozního průzkumu a při výskytu bludných proudů. Možnost dodatečného dokoupení jistícího svěracího kroužku pro krácené trouby bez návarku.
Výpočet - výměra, rozměr:
12,40 =&gt; celková délka potrubí [m] + ztratné 5% na prořezy, krácení apod.
+ ztratné 5%; 0,62</t>
  </si>
  <si>
    <t>Signalizační vodič k vytyčení vodovodní sítě.
Výpočet - výměra, rozměr:
12,40 =&gt; celková délka potrubí [m] + ztratné 10%</t>
  </si>
  <si>
    <t>Deska stropní plná PZD 74/29/9  P5, opěra pro příslušnou tvarovku vod. potrubí pro přenos vodorovné síly vyvolané tokem vody v potrubím do bloku, příp. svislé síly vyvolané nadložím či dopravou.
Počet prefabrikátů pro jednotlivé případy :
PZD 74/29/9 - 5 ks/ 1 ks bloku pro odbočku - celkem 1 odbočka 
PZD 74/29/9 - 3 ks/ 1 ks bloku pro hydrant (pateční koleno) - celkem 0 hydrantů
PZD 74/29/9 - 2 ks/ 1 ks bloku pro směrový lom větší než 10 st. - celkem 4 lomů
PZD 74/29/9 - 0 ks/ 1 ks bloku pro směrový lom menší než 10 st. - celkem 0 lomů (vytočeno potrubím)</t>
  </si>
  <si>
    <t>Dřevěné hranoly, podpěry a opěry fixačního bloku vodovodního potrubí.
viz.: výkres Betonové zajišťovací bloky, celková kubatura řeziva pro stavbu
0,1*0,2*0,1*(5*1) =&gt; bloků pro odbočku
0,1*0,2*0,1*(3*0) =&gt; bloků pro hydrant
0,1*0,2*0,1*(4*2) =&gt; blok směrový větší než 10 st.
0,15*0,15*0,8*4*(2*2) =&gt; bloků vertik.
D+M, včetně montáže ve výkopu</t>
  </si>
  <si>
    <t>SO 302.II. KANALIZACE - II. ETAPA</t>
  </si>
  <si>
    <t>0895008002VD</t>
  </si>
  <si>
    <t>Zaříznutí stávajícího ŽB potrubí do DN 500</t>
  </si>
  <si>
    <t>Zaříznutí stávajícího ŽB potrubí do DN 500. D+M
Výpočet - výměra, rozměr:
2 =&gt; počet zaříznutí stáv. potrubí [ks]</t>
  </si>
  <si>
    <t>Pohotovost čerpací soupravy. Oceňují se všechny dny od ukončení montáže po započetí demontáže čerpací soustavy.
Výpočet:
2 =&gt; předpokad čerpání ve dnech =&gt; stanoveno odhadem</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</si>
  <si>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1,0*1,73*1,05 =&gt; ÚSEK č.2 (MOK): délka úseku [m] * prům. šíře rýhy [m] + rezerva 5%</t>
  </si>
  <si>
    <t>Odstranění asfaltobetonové vozovky pl. nad 50 m2 - KSÚSV</t>
  </si>
  <si>
    <t>Odstranění stávajícího krytu přijezdné komunikace, včetně nakládání a odvozu na skládku do 1 km, započítaná i zpáteční cesta. 
Položka obsahuje: 
- řezání živičného krytu tl. 5 cm, 
- odstranění asfaltbetonového krytu tl. 6 cm 
- řezání podkladního asfaltobetonu tl. 7 cm 
- odstranění podkladního asfaltobetonu tl. 7 cm 
- odstranění kameniva zpevněného cementem tl. 15 cm 
- odstranění štěrkodrti tl. 32 cm 
- nakládání suti 
- vodorovná doprava suti do 1 km (položka neobsahuje poplatek za skládku)
Výpočet - výměra, rozměr:
6,00*1,73*1,05 =&gt; ÚSEK č.2 (KSÚS): délka úseku [m] * prům. šíře rýhy [m] + rezerva 5%</t>
  </si>
  <si>
    <t>Odstranění podkladu do 50 m2,kam.těžené tl.23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6,00*1,73 =&gt; ÚSEK č.2: délka úseku [m] * prům. šíře rýhy [m]</t>
  </si>
  <si>
    <t>113107315R00</t>
  </si>
  <si>
    <t>Odstranění podkladu pl. do 50 m2,kam.těžené tl. 15 cm - MOK</t>
  </si>
  <si>
    <t>Odstranění podkladu do 50 m2,kam.těžené tl.15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1,00*1,73 =&gt; ÚSEK č.2 (MOK): délka úseku [m] * prům. šíře rýhy [m]</t>
  </si>
  <si>
    <t>114211105R00</t>
  </si>
  <si>
    <t>Odstranění betonových trub do DN 500 mm, ve výkopu</t>
  </si>
  <si>
    <t>Odstranění betonových trub do DN 500 mm, ve výkopu, včetně naložení na dopravní prostředek a odvozem na skládku včetně skládkovného.
Výpočet - výměra, rozměr:
1,50 =&gt; délka odstranění bet. trub [m]</t>
  </si>
  <si>
    <t>132201212R00</t>
  </si>
  <si>
    <t>Hloubení rýh š.do 200 cm hor.3 do 1000 m3, STROJNĚ</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</si>
  <si>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1,00*2,13*0,5*1,05 =&gt; ÚSEK č.2 (MOK): délka úseku [m] * prům.plocha [m2] * 50% (III. tř. horniny) + 5% rezerva
6,00*1,72*0,5*1,05 =&gt; ÚSEK č.2 (KSÚS): délka úseku [m] * prům.plocha [m2] * 50% (III. tř. horniny) + 5% rezerva</t>
  </si>
  <si>
    <t>Příplatek za lepivost, 50% celkového objemu výkopu. Do měrných jednotek se udává poměrné množství zeminy, které ulpí v nářadí a o které je snížen celkový výkon stroje.
Výpočet - výměra, rozměr:
6,54 [m3] * 0,50 [%] =&gt; převzaté č. pol. 132201212R00 (Hloubení rýh š.do 200 cm hor.3 do 1 000m3, STROJNĚ) * 50% z výkopku</t>
  </si>
  <si>
    <t>132301212R00</t>
  </si>
  <si>
    <t>Hloubení rýh š.do 200 cm hor.4 do 1000 m3, STROJNĚ</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</si>
  <si>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1,00*2,13*0,5*1,05 =&gt; ÚSEK č.2 (MOK): délka úseku [m] * prům.plocha [m2] * 50% (IV. tř. horniny) + 5% rezerva
6,00*1,72*0,5*1,05 =&gt; ÚSEK č.2 (KSÚS): délka úseku [m] * prům.plocha [m2] * 50% (IV. tř. horniny) + 5% rezerva</t>
  </si>
  <si>
    <t>Příplatek za lepivost, 25% celkového objemu výkopu. Do měrných jednotek se udává poměrné množství zeminy, které ulpí v nářadí a o které je snížen celkový výkon stroje.
Výpočet - výměra, rozměr:
6,54 [m3] * 0,25 [%] =&gt; převzaté č. pol. 132301212R00 (Hloubení rýh v hor.4 do 1 000m3,STROJNĚ) * 25% z výkopku</t>
  </si>
  <si>
    <t>Rezerva pro případné uložení drenážního potrubí DN 80. 
Výpočet - výměra, rozměr:
5,0*0,25*1,10 =&gt; délka výkopku pro příp. drenážní potrubí [m] * plocha rýhy [m2] + rezerva 10%</t>
  </si>
  <si>
    <t>Pažení a rozepření stěny rýhy - příložné - hl. do 4 m. D+M
Výpočet - výměra, rozměr:
7,00*2,15*2*0,90 =&gt; délka trasy / úseku / stoky [m] * průměrná výška [m] * počet stěn [ks] - 90% z toho</t>
  </si>
  <si>
    <t>Odstranění pažení a rozepření stěny rýhy - příložné - hl. do 4 m. D+M
Výpočet - výměra, rozměr:
7,00*2,15*2*0,90 =&gt; délka trasy / úseku / stoky [m] * průměrná výška [m] * počet stěn [ks] - 90% z toho</t>
  </si>
  <si>
    <t>bez naložení do dopravní nádoby, ale s vyprázdněním dopravní nádoby na hromadu nebo na dopravní prostředek
hloubení rýh š. do 200 cm objemu nad 100 m3 (stavba globálně): 50 %
Výpočet - výměra, rozměr:
(6,54+6,54)*0,50 =&gt; součet kubatury horn.  tř. I. až IV. * 50 % - stanoveno z tabulky v RTS komentáři</t>
  </si>
  <si>
    <t>bez naložení do dopravní nádoby, ale s vyprázdněním dopravní nádoby na hromadu nebo na dopravní prostředek
hloubení rýh š. do 200 cm objemu nad 100 m3 (stavba globálně): 50 %
viz. TABULKA TĚŽITELNOSTI HORNIN
Výpočet:
(3,00+2,00+1,38)*0,50 =&gt; součet kubatury horn.  tř. V. až VII. * 50% - stanoveno z tabulky pro určení podílu svislého přemístění výkopku</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</si>
  <si>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(6,54+6,54) =&gt; celkový výkop hor. tř. I.-IV. [m3]
-5,85 =&gt; odečet kubatury zeminy potřebné k zásypu [m3]</t>
  </si>
  <si>
    <t>Po suchu, bez naložení výkopku, avšak se složením bez rozhrnutí, zpáteční cesta vozidla.
Předpoklad uložení - skládka (Skládka Henčov - SMJ s.r.o., Jihlava, ul. Škroupova - Skládka Henčov = 7,0 km)..
Výpočet - výměra, rozměr:
3,00+2,00+1,38 =&gt; součet výkopků tř. V. až VII. [m3]</t>
  </si>
  <si>
    <t>167101101R00</t>
  </si>
  <si>
    <t>Nakládání výkopku z hor. 1 ÷ 4 v množství do 100 m3</t>
  </si>
  <si>
    <t>Naložení a složení výkopku tř. 1. až 4. z mezideponie pro zásyp rýhy.
Výpočet - výměra, rozměr:
2*5,85 =&gt; počet nakládání / skládání [-] * kubatura horniny tř. I. - IV. potřebná pro zásyp [m3]</t>
  </si>
  <si>
    <t>Položka obsahuje naložení, odvoz výkopku na mezideponii, složení výkopku a zpáteční cestu.
Výpočet - výměra, rozměr:
2*5,85 =&gt; 1x odvoz + 1x dovoz [-] * kubatura horniny tř. I. - IV. potřebná pro zásyp [m3]</t>
  </si>
  <si>
    <t>Obsyp hutnitelným nesoudržným materiálem (f = 0-4 mm / 0-16 mm pro PP/PVC - dle  TP dodavatele potrubí) , pro jakoukoliv hloubku výkopu a jakoukoliv míru zhutnění, včetně dodávky obsypového materiálu. D+M
viz. PODÉLNÉ PROFILY
Výpočet - výměra, rozměr:
7,00*0,78*1,05 =&gt; délka trasy úseku / stoky [m] * plocha obsypu [m2] + rezerva na zhutnění 5%
-(7,00*(pi*0,150^2)) =&gt; odečet kubatury vytlačené potrubím [m3]</t>
  </si>
  <si>
    <t>Zásyp jam, rýh, šachet se zhutněním z jakékoliv horniny (tř. I - IV.) s uložením výkopku po vrtstvách, max. velikost kamene 100 mm, přebytečná zemina odvezena na skládku:
viz. PODÉLNÉ PROFILY
Výpočet - výměra, rozměr:
1,00*0,90*1,05 =&gt; ÚSEK č.2 (MOK): délka úseku [m] * prům.pl. zásypu [m2]  + 5% rezerva na zhutnění
6,00*0,78*1,05 =&gt; ÚSEK č.2 (KSÚS): délka úseku [m] * prům.pl. zásypu [m2]  + 5% rezerva na zhutnění</t>
  </si>
  <si>
    <t>Výpočet - výměra, rozměr:
7,23 =&gt; kubatura [m3] - převzato z pol. vodorovného přesunu horn. tř. 1 - 4</t>
  </si>
  <si>
    <t>Výpočet - výměra, rozměr:
6,38 =&gt; kubatura [m3] - převzato z pol. vodorovného přesunu horn. tř. 5 - 7</t>
  </si>
  <si>
    <t>Zhutnění podloží pod potrubím válcem.
Výpočet - výměra, rozměr:
7,00*1,12*1,10 =&gt; délka řadu [m] * šířka lože [m] + 10% rezerva</t>
  </si>
  <si>
    <t>Beton podkladní pod základové konstrukce, prostý - betonové lože pod revizní šachtu, tl. 0,20 m, a = 1,20 m. D+M
Výpočet - výměra, rozměr:
1*(1,2*1,2*0,2) =&gt; počet šachet [ks] * objem podkladového bet. pod šachtu [m3]</t>
  </si>
  <si>
    <t>Zhotovení podkladního lože pod kanalizační potrubí ze štěrkopísku, f = 0 - 4 mm, včetně dodávky podkladového materiálu. D+M
Výpočet - výměra, rozměr:
7,00*1,12*0,15*1,15 =&gt; délka trasy úseku / stoky [m] * šíře rýhy [m] * tl. lože [m] + rezerva na zhutnění 15%</t>
  </si>
  <si>
    <t>Podklad ze štěrkodrti po zhutnění tloušťky 20 cm - KSÚSV</t>
  </si>
  <si>
    <t>Podklad ze štěrkodrti, f = 0 - 63 mm, s výplň.kamen., tl. vrstvy 20 cm, včetně dodávky kameniva. D+M
Výpočet - výměra, rozměr:
6,00*1,55*1,05 =&gt; ÚSEK č.2: délka úseku [m] * prům. šíře rýhy [m] + rezerva 5%</t>
  </si>
  <si>
    <t>Podkladní vrstva z kameniva drceného, f = 32 - 63 mm, s výplň.kamen., tl. vrstvy 20 cm, včetně dodávky kameniva. D+M
Výpočet - výměra, rozměr:
6,00*1,61*1,05 =&gt; ÚSEK č.2: délka úseku [m] * prům. šíře rýhy [m] + rezerva 5%</t>
  </si>
  <si>
    <t>Podkladní vrstva z kameniva drceného, f = 32 - 63 mm, s výplň.kamen., tl. vrstvy 20 cm, včetně dodávky kameniva. D+M
Výpočet - výměra, rozměr:
6,00*1,66*1,05 =&gt; ÚSEK č.2: délka úseku [m] * prům. šíře rýhy [m] + rezerva 5%</t>
  </si>
  <si>
    <t>Podklad ze štěrkodrti po zhutnění tloušťky 23 cm, vrchní vrstva - dočasná po dobu stavby před celoplošnou rekonstrukcí komunikace, včetně dodávky štěrkodrti (f = 0 - 32 mm). D+M
Výpočet - výměra, rozměr:
6,00*1,73 =&gt; ÚSEK č.2: délka úseku [m] * prům. šíře rýhy [m]</t>
  </si>
  <si>
    <t>Podklad ze štěrkodrti, f = 0 - 63 mm, tl. vrstvy 20 cm, včetně dodávky štěrkodrtě. D+M
Výpočet - výměra, rozměr:
1,00*1,57*1,05 =&gt; ÚSEK č.2: délka úseku [m] * prům. šíře rýhy [m] + rezerva 5%</t>
  </si>
  <si>
    <t>Podkladní vrstva z kameniva drceného, f = 32 - 63 mm, s výplň.kamen., tl. vrstvy 20 cm, včetně dodávky kameniva. D+M
Výpočet - výměra, rozměr:
1,00*1,63*1,05 =&gt; ÚSEK č.2: délka úseku [m] * prům. šíře rýhy [m] + rezerva 5%</t>
  </si>
  <si>
    <t>Podkladní vrstva z kameniva drceného, f = 32 - 63 mm, s výplň.kamen., tl. vrstvy 20 cm, včetně dodávky kameniva. D+M
Výpočet - výměra, rozměr:
1,00*1,69*1,05 =&gt; ÚSEK č.2: délka úseku [m] * prům. šíře rýhy [m] + rezerva 5%</t>
  </si>
  <si>
    <t>Provizorní pojízdná vrstva ze štěrkodrti, f = 0 - 32 mm, tl. vrstvy 15 cm, včetně dodávky štěrkodrti. D+M
Výpočet - výměra, rozměr:
1,00*1,73 =&gt; ÚSEK č.2 (MOK): délka úseku [m] * prům. šíře rýhy [m]</t>
  </si>
  <si>
    <t>871413121R00</t>
  </si>
  <si>
    <t>Montáž trub kanaliz. z plastu, hrdlových, DN 500</t>
  </si>
  <si>
    <t>Montáž potrubí z tvrdého PVC těsněných gumovým kroužkem. V položce je uvažováno s jedním spojem na 6 m potrubí. Položka je určena pro montáž potrubí z kanalizačních trub z plastu těsněných gumovým kroužkem v otevřeném výkopu ve sklonu do 20 %. V položce montáže potrubí nejsou zakalkulovány náklady na dodání trub; tyto náklady se oceňují ve specifikaci.
Výpočet - výměra, rozměr:
1,50 =&gt; celková délka montáže potrubí dané světlosti [m]</t>
  </si>
  <si>
    <t>877393123R00.1</t>
  </si>
  <si>
    <t>Montáž tvarovek jednoos. pro nesourodá potrubí, výkop DN 500</t>
  </si>
  <si>
    <t>Položka je určena pro montáž tvarovek na potrubí jednoosých (nerez-pryžových spojek) v otevřeném výkopu, v otevřeném kanálu nebo v šachtě.  V položce nejsou zakalkulovány náklady na dodávku tvarovek; tyto tvarovky se oceňují ve speciifikaci. 
Výpočet - výměra, rozměr:
2 =&gt; počet nesourodých spojů [ks]</t>
  </si>
  <si>
    <t>Montáž potrubí z tvrdého PVC těsněných gumovým kroužkem. V položce jsou zakalkulovány i náklady na montáž tvarovek. V položce nejsou zakalkulovány náklady na dodání trubek a tvarovek (mimo odbočné tvarovky), tyto materiály jsou oceněny samostaně ve specifikaci. M
Výpočet - výměra, rozměr:
7,00 =&gt; celková délka montáže potrubí dané světlosti [m]</t>
  </si>
  <si>
    <t>Montáž dvouossých kanalizačních odbočných tvarovek daného průměru (kanalizační odbočení pro jednotlivé nemovitosti).
Položka je určena pro montáž tvarovek odbočných na potrubí z kanalizačních trub z plastu těsněných gumovým kroužkem v otevřeném výkopu. M
Výpočet - výměra, rozměr:
1 =&gt; součet všech odbočných tvarovek [ks]</t>
  </si>
  <si>
    <t>Položka je určena pro montáž přesuvek na potrubí z kanalizačních trub z plastu těsněných gumovým kroužkem v otevřeném výkopu. M
Výpočet - výměra, rozměr:
2,0 =&gt; součet všech jednoosých tvarovek [ks]</t>
  </si>
  <si>
    <t>894423112RT1</t>
  </si>
  <si>
    <t>Osazení betonových dílců šachet do 3,0 t</t>
  </si>
  <si>
    <t>Osazení šachtového dna, 1 dno do 2,0 t, TBZ-Q.1 100/100.</t>
  </si>
  <si>
    <t>Vyčištění kanalizační stoky - proplach vodou před zkouškou těsnosti kanalizace, v položce jsou započteny i náklady na dodání vody. D+M
Výpočet - výměra, rozměr:
7,00+1,50 =&gt; délka gravitační kanalizace [m]</t>
  </si>
  <si>
    <t>Zkouška těsnosti dešťové kanalizace DN do 300, vodou, včetně nákladů dodávek na vodu, napuštění vodou, zabezpečení konců zajištěno předchozí položkou. D+M
Výpočet - výměra, rozměr:
7,00 =&gt; délka kanalizačního potrubí [m]</t>
  </si>
  <si>
    <t>892855112R00</t>
  </si>
  <si>
    <t>Kontrola kanalizace TV kamerou do 50 m</t>
  </si>
  <si>
    <t>Kontrola kanalizace TV kamerou nad 500 m, včetně TV záznamu s kontrolou ovality potrubí. D+M
Výpočet - výměra, rozměr:
8,50 =&gt; délka gravit. kanalizace [m]</t>
  </si>
  <si>
    <t>Dodávka a uložení výstražné fólie, hnědé barvy s nápisem "KANALIZACE" / "POZOR KANALIZACE", cca 30 cm nad povrchem potrubí. D+M
Výpočet - výměra, rozměr:
8,50*1,10 =&gt; délka potrubí /úseku/ [m] + rezerva 10%</t>
  </si>
  <si>
    <t>Bourání konstrukcí</t>
  </si>
  <si>
    <t>960111221R00</t>
  </si>
  <si>
    <t>Bourání konstrukcí z dílců prefa. betonových a ŽB</t>
  </si>
  <si>
    <t>96_</t>
  </si>
  <si>
    <t>Bourání konstrukcí z dílců prefa. betonových a ŽB - demolice / demontáž stávající betonové revizní šachty DN 1000 včetně odvozu na skládku, skladkovného a vodorovného i svislého přesunu.
Výpočet - výměra, rozměr:
(pi*0,5^2*2,15) =&gt; kubatura stáv. bet. šachty [m3]</t>
  </si>
  <si>
    <t>Výpočet - výměra, rozměr:
17,28*0,75 =&gt; celková hmotnost odebraných konstrukcí komunikací [t]  =&gt; z toho prům. 75%</t>
  </si>
  <si>
    <t>Přesun hmot, komunikace z kameniva, příplatek 1 km - odvoz na skládku dle výběru investora (Pístov, Jihlava, ul. Škroupova - Pístov = 5,0 km).
Výpočet - výměra, rozměr:
5*17,28*0,75 =&gt; počet km [-] * celk. odebraná hmotnost vrstev komunikace [t] =&gt; z toho 75%</t>
  </si>
  <si>
    <t>Přesun hmot, kryt živičný (1 km) - odvoz na skládku dle výběru investora (Pístov, Jihlava, ul. Škroupova - Pístov = 5,0 km).
Výpočet - výměra, rozměr:
5*17,28*0,25 =&gt; počet km [-] * celk. odebraná hmotnost vrstev komunikace [t] =&gt; z toho 25%</t>
  </si>
  <si>
    <t>28611135</t>
  </si>
  <si>
    <t>Trubka kanalizační PVC/PP, min. SN 12, 315 x 6000 mm</t>
  </si>
  <si>
    <t>Potrubí z  PP / PVC / PVC-U v kruhové tuhosti min. SN 12 kN/m2, s plnostěnnou konstrukcí stěny vyráběné v souladu s ČSN EN 1401. Potrubí využívá řadu PVC nebo PP  tvarovek v odpovídající síle stěny. Potrubí je oranžové/hnědé barvy a je spojováno pomocí hrdel a gumového těsnění jištěné plastovým kroužkem. Dodávka materiálu. D
Výpočet - výměra, rozměr:
(7,00*0,75)/6,0 =&gt; celková délka potrubí [m] * 75% z celku / délka trubky + ztratné 15%
Pozn.: Orientační počet daného rozměru, přesný počet bude vykázán zhotovitelem stavby.</t>
  </si>
  <si>
    <t>28611135.1</t>
  </si>
  <si>
    <t>Trubka kanalizační PVC/PP, min. SN 12, 315 x 3000 mm</t>
  </si>
  <si>
    <t>Potrubí z  PP / PVC / PVC-U v kruhové tuhosti min. SN 12 kN/m2, s plnostěnnou konstrukcí stěny vyráběné v souladu s ČSN EN 1401. Potrubí využívá řadu PVC nebo PP  tvarovek v odpovídající síle stěny. Potrubí je oranžové/hnědé barvy a je spojováno pomocí hrdel a gumového těsnění jištěné plastovým kroužkem. Dodávka materiálu. D
Výpočet - výměra, rozměr:
(7,00*0,25)/3,0 =&gt; celková délka potrubí [m] * 25% z celku / délka trubky + ztratné 80%
Pozn.: Orientační počet daného rozměru, přesný počet bude vykázán zhotovitelem stavby.</t>
  </si>
  <si>
    <t>28611137.1</t>
  </si>
  <si>
    <t>Trubka PVC kanalizační PVC/PP, min. SN12, 500 x 17,1 x 3000 mm</t>
  </si>
  <si>
    <t>Odbočka kanalizační PVC/PP, min. SN12, D 315 mm / d 160 mm / 45°, nástrčná hrdla opatřená těsnicím kroužkem z elastomeru.
Výpočet - výměra, rozměr:
1 =&gt; počet odbočení na stoce [ks]</t>
  </si>
  <si>
    <t>Koleno kanalizační PVC/PP, min. SN12, D 315 mm / 30°, nástrčné hrdlo opatřené těsnicím kroužkem z elastomeru.
Výpočet - výměra, rozměr:
1 =&gt; množství [ks]  - stanoveno odhadem + ztratné 1,5%
Pozn.: Orientační počet daného rozměru, přesný počet bude vykázán zhotovitelem stavby.</t>
  </si>
  <si>
    <t>Koleno kanalizační PVC/PP, min. SN12, D 315 mm / 15°, nástrčné hrdlo opatřené těsnicím kroužkem z elastomeru.
Výpočet - výměra, rozměr:
1 =&gt; množství [ks]  - stanoveno odhadem + ztratné 1,5%
Pozn.: Orientační počet daného rozměru, přesný počet bude vykázán zhotovitelem stavby.</t>
  </si>
  <si>
    <t>Přesuvka kanalizační PVC/PP, min. SN12, D 315 mm, nástrčná hrdla opatřená těsnicím kroužkem z elastomeru.
Výpočet - výměra, rozměr:
2 =&gt; množství [ks]  - stanoveno odhadem + ztratné 1,5%
Pozn.: Orientační počet daného rozměru, přesný počet bude vykázán zhotovitelem stavby.</t>
  </si>
  <si>
    <t>59224368.A</t>
  </si>
  <si>
    <t>Dno šachetní přímé TBZ-Q.1 100/100 V max. 60</t>
  </si>
  <si>
    <t>900 KL 000150VD</t>
  </si>
  <si>
    <t>Nerez-pryžová stahovací spojka pro nesourodá potrubí (BET/ŽB 500 - PVC/PP 500)</t>
  </si>
  <si>
    <t>Nerez-pryžová stahovací spojka pro nesourodá potrubí, dodávka + montáž.</t>
  </si>
  <si>
    <t>Dočasné zajištění potrubí ve výkopu vzniklé křížením (příp. souběhy), např.: podepřením, tvárnicemi, zákrytovými deskami.
Výpočet - výměra, rozměr:
3*1,53*1,00 =&gt; počet křížení [ks] * prům. šířka rýhy [m] =&gt; z toho 100%</t>
  </si>
  <si>
    <t>Množství m.j. je uvedeno dle předpokladu, celková cena této práce se stanoví podle skutečnosti při provádění stavebních prací. Den = 8 hodin.
Výpočet - výměra, rozměr:
2*8 =&gt; předpoklad čerpání ve dnech [den] * počet hodin [hod]</t>
  </si>
  <si>
    <t>Pohotovost čerpací soupravy. Oceňují se všechny dny od ukončení montáže po započetí demontáže čerpací soustavy.
Výpočet:
předpokad čerpání ve dnech =&gt; viz. TABULKA TĚŽITELNOSTI HORNIN A TABULKA STAVEBNÍHO ČERPÁNÍ VODY</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</si>
  <si>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12,50*1,53*1,05 =&gt; celk. délka tras(y) / úsek(ů) kan. odbočení [m] * prům. šíře rýhy [m] + rezerva 5%</t>
  </si>
  <si>
    <t>Hloubení rýh š.do 200 cm hor.3 do 1000m3,STROJNĚ</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</si>
  <si>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(III. tř. horniny) + 5% rezerva
12,50*1,62*0,50*1,05 =&gt; MOK: délka trasy / úseku [m] * prům. plocha výkopu [m2] * 50% (III. tř. horniny) + 5% rezerva
0*2,19*0,50*1,05 =&gt; NEZPEVNĚNO: délka trasy / úseku [m] * prům. plocha výkopu [m2] * 50% (III. tř. horniny) + 5% rezerva
0*1,62*0,50*1,05 =&gt; CHODNÍKY: délka trasy / úseku [m] * prům. plocha výkopu [m2] * 50% (III. tř. horniny) + 5% rezerva
0*2,19*0,50*1,05 =&gt; ŠTĚRK: délka trasy / úseku [m] * prům. plocha výkopu [m2] * 50% (III. tř. horniny) + 5% rezerva</t>
  </si>
  <si>
    <t>Příplatek za lepivost - hloubení rýh 200cm v hor.3</t>
  </si>
  <si>
    <t>Příplatek za lepivost, 50% celkového objemu výkopu. Do měrných jednotek se udává poměrné množství zeminy, které ulpí v nářadí a o které je snížen celkový výkon stroje.
Výpočet - výměra, rozměr:
10,63 [m3] * 0,50 [%] =&gt; převzaté č. pol. 132201212R00 (Hloubení rýh š.do 200 cm hor.3 do 1 000 m3, 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</si>
  <si>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(IV. horniny) + 5% rezerva
12,50*1,62*0,50*1,05 =&gt; MOK: délka trasy / úseku [m] * prům. plocha výkopu [m2] * 50% (IV. tř. horniny) + 5% rezerva
0*2,19*0,50*1,05 =&gt; NEZPEVNĚNO: délka trasy / úseku [m] * prům. plocha výkopu [m2] * 50% (IV. tř. horniny) + 5% rezerva
0*1,62*0,50*1,05 =&gt; CHODNÍKY: délka trasy / úseku [m] * prům. plocha výkopu [m2] * 50% (IV. tř. horniny) + 5% rezerva
0*2,19*0,50*1,05 =&gt; ŠTĚRK: délka trasy / úseku [m] * prům. plocha výkopu [m2] * 50% (IV. tř. horniny) + 5% rezerva</t>
  </si>
  <si>
    <t>Příplatek za lepivost - hloubení rýh 200cm v hor.4</t>
  </si>
  <si>
    <t>Příplatek za lepivost, 25% celkového objemu výkopu. Do měrných jednotek se udává poměrné množství zeminy, které ulpí v nářadí a o které je snížen celkový výkon stroje.
Výpočet - výměra, rozměr:
10,63 [m3] * 0,25 [%] =&gt; převzaté č. pol. 132301213R00 (Hloubení rýh v hor.4 do 10 000m3,STROJNĚ) * 25% z výkopku</t>
  </si>
  <si>
    <t>Pažení a rozepření stěny rýhy - příložné - hl. do 4 m. D+M
Výpočet - výměra, rozměr:
12,50*2,00*2*0,25 =&gt; celk. délka trasy / úseku kan. odbočení [m] * průměrná výška [m] * počet stěn [ks] - 25% z toho</t>
  </si>
  <si>
    <t>Odstranění pažení a rozepření stěny rýhy - příložné - hl. do 4 m. D+M
Výpočet - výměra, rozměr:
12,50*2,00*2*0,25 =&gt; délka trasy / úseku / stoky [m] * průměrná výška [m] * počet stěn [ks] - 25% z toho</t>
  </si>
  <si>
    <t>Svislé přemístění výkopku z hor.1-4 do 2,5 m bez naložení do dopravní nádoby, ale s vyprázdněním dopravní nádoby na hromadu nebo na dopravní prostředek.
- hloubení rýh objemu nad 100 m3 (stavba globálně): 50 %
viz. TABULKA TĚŽITELNOSTI HORNIN
Výpočet - výměra, rozměr:
(10,63+10,63)*0,50 =&gt; součet výkopů I. až IV. tř.  *  50 % (stanoveno z tabulky pro určení podílu svislého přemístění)</t>
  </si>
  <si>
    <t>bez naložení do dopravní nádoby, ale s vyprázdněním dopravní nádoby na hromadu nebo na doopravní prostředek
hloubení rýh objemu nad 100 m3 (stavba globálně): 50 %
viz. TABULKA TĚŽITELNOSTI HORNIN
Výpočet - výměra, rozměr:
(3,0+2,0)*0,50 =&gt; součet výkopů V. až VII. tř.  *  50 % (stanoveno z tabulky pro určení podílu svislého přemístění)</t>
  </si>
  <si>
    <t>162701105R00</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</si>
  <si>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(10,63+10,63) =&gt; celkový výkop hor. tř. I.-IV. [m3]
-12,99 =&gt; odečet kubatury potřebné k zásypu [m3]</t>
  </si>
  <si>
    <t>162701155R00</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</si>
  <si>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3,00+2,00 =&gt; součet výkopků tř. V. až VII. [m3]</t>
  </si>
  <si>
    <t>Naložení a složení výkopku tř. 1. až 4. z mezideponie pro zásyp rýhy.
Výpočet - výměra, rozměr:
2*12,99 =&gt; počet nakládání / skládání [-] * kubatura horniny tř. I. - IV. potřebná pro zásyp [m3]</t>
  </si>
  <si>
    <t>Položka obsahuje naložení, odvoz výkopku na mezideponii, složení výkopku a zpáteční cestu.
Výpočet - výměra, rozměr:
2*12,99 =&gt; 1x odvoz + 1x dovoz [-] * kubatura horniny tř. I. - IV. potřebná pro zásyp [m3]</t>
  </si>
  <si>
    <t>Obsyp hutnitelným nesoudržným materiálem = prosívkou (f = 0-4 mm pro PP / PVC) , pro jakoukoliv hloubku výkopu a jakoukoliv míru zhutnění, včetně dodávky obsypového materiálu. D+M
Výpočet - výměra, rozměr:
0,49*12,50*1,15 =&gt; plocha obsypu [m2] * délka trasy / úseku kan. odbočení [m] + rezerva 5% na zhutnění
-(3,14*0,08^2*12,50) =&gt; odečet kubatury vytlačené potrubím [m3] - DN 150</t>
  </si>
  <si>
    <t>Příplatek za prohození sypaniny pro obsyp potrubí.
Výpočet - výměra, rozměr:
6,79 =&gt; kubatura obsypu [m] - převzato z předchozí položky</t>
  </si>
  <si>
    <t>Zásyp jam, rýh, šachet se zhutněním z jakékoliv horniny (tř. I - IV.) s uložením výkopku po vrtstvách, vhodná zemina ze staveniště k zásypům (posouzeno bude geologem), max. vel. kamene 100 mm.
Výpočet - výměra, rozměr:
0*0,46*1,05 =&gt; KSÚS: délka trasy / úseku [m] * prům. plocha zásypu [m2] + 5% rezerva (max. míra zhutnění)
12,50*0,99*1,05 =&gt; MOK: délka trasy / úseku [m] * prům. plocha zásypu [m2] + 5% rezerva (max. míra zhutnění)
0*1,55*1,05 =&gt; NEZPEVNĚNO: délka trasy / úseku [m] * prům. plocha zásypu [m2] + 5% rezerva (max. míra zhutnění)
0*0,99*1,05 =&gt; CHODNÍKY: délka trasy / úseku [m] * prům. plocha zásypu [m2] + 5% rezerva (max. míra zhutnění)
0*1,55*1,05 =&gt; ŠTĚRK: délka trasy / úseku [m] * prům. plocha zásypu [m2] + 5% rezerva (max. míra zhutnění)</t>
  </si>
  <si>
    <t>215901101RT5</t>
  </si>
  <si>
    <t>Zhutnění lože pod potrubím, vibrační deskou / válcem.
Výpočet - výměra, rozměr:
12,50*0,96*1,10 =&gt; celk. délka kan. odbočení [m] * šířka lože [m] + rezerva 10%</t>
  </si>
  <si>
    <t>271313511R00</t>
  </si>
  <si>
    <t>Beton podkladní pod základové konstrukce, prostý - betonové lože pod uliční vpusti, tl. 0,15 m, a = 0,50 m. D+M
Výpočet - výměra, rozměr:
4*(0,5*0,5*0,15) =&gt; počet vpustí [ks] * objem podkladového bet. pod vpust [m3]</t>
  </si>
  <si>
    <t>Zhotovení podkladního lože pod odpadní potrubí z lom. prosívky f = 0 až 4 mm, včetně dodávky prosívky. D+M
viz. PODÉLNÉ PROFILY / ULOŽENÍ TRUB
Výpočet - výměra, rozměr:
12,50*0,96*0,15*1,1 =&gt; celk. délka trasy / úseku kan. odbočení [m] * šířka lože [m] * tl. vrstvy [m] + 10% rezerva
m3 prosívky = cca 2,34 T</t>
  </si>
  <si>
    <t>Podklad ze štěrkodrti, f = 0 - 63 mm, po zhutnění tl. vrstvy 25 cm, včetně dodávky štěrkodrti. D+M
Výpočet - výměra, rozměr:
12,50*1,43*1,05 =&gt; délka úseku(ů) [m] * prům. šíře rýhy [m] + rezerva 5%</t>
  </si>
  <si>
    <t>Podkladní vrstva z kameniva drceného, f = 32 - 63 mm, s výplň.kamen., tl. vrstvy 20 cm, včetně dodávky kameniva. D+M
Výpočet - výměra, rozměr:
12,50*1,49*1,05 =&gt; délka úseku(ů) [m] * prům. šíře rýhy [m] + rezerva 5%</t>
  </si>
  <si>
    <t>Provizorní pojízdná vrstva ze štěrkodrti, f = 0 - 32 mm, tl. vrstvy 15 cm, včetně dodávky štěrkodrti. D+M
Výpočet - výměra, rozměr:
12,50*1,53 =&gt; délka úseku(ů) [m] * prům. šíře rýhy [m]</t>
  </si>
  <si>
    <t>Potrubí z trub kameninových</t>
  </si>
  <si>
    <t>831350113RA0</t>
  </si>
  <si>
    <t>Kanalizační přípojka z trub PVC, D 160 mm</t>
  </si>
  <si>
    <t>83_</t>
  </si>
  <si>
    <t>Kanalizační přípojka z trub PVC / PP, D 160 mm, položka obsahuje:
- náklady na dodávku a montáž PVC / PP potrubí bez ohledu na kruhovou tuhost potrubí, 
- napojení na odbočné místo (odbočky jsou součástí jednotlivých splaškových kanalizačních stok), 
- dodávku a montáž tvarovek jednoosých (pro jednu odbočku: 1x koleno 45°, 1x koleno 30°, 3x koleno 15°),
- napojení na domovní revizní šachtu (bez dodávky a montáže domovní revizní šachty),
- zkoušku těsnosti potrubí,
- dodávka a montáž kanalizačního víčka D 160 mm. 
Výpočet - výměra, rozměr:
12,50 =&gt; délka kanalizačního/ch odbočení [m]</t>
  </si>
  <si>
    <t>894411020RAF</t>
  </si>
  <si>
    <t>Vpusť uliční z dílců DN 450 se sifnem, s kal.košem,s výtokem a napojením</t>
  </si>
  <si>
    <t>Vpusť uliční z dílců DN 450 se sifnem, s kal.košem,s výtokem a napojením - DN 150, mříž litina 500x500 40 t, hl. 1,59 m. D+M
V položce je zakalkulováno: 
- zřízení uliční vpusti betonových dílců ze spodního dílu s odtokem DN 150 mm, středové a horní skruže, přechodového dílu, vyrovnávacího prstence a vtokové mříže s kalovým košem, včetně napojení na přípojku
Výpočet - výměra, rozměr:
2 =&gt; počet uličních vpustí [ks]</t>
  </si>
  <si>
    <t>Výpočet - výměra, rozměr:
18,07*0,75 =&gt; celková hmotnost odebraných konstrukcí komunikací [t]  =&gt; z toho prům. 75%</t>
  </si>
  <si>
    <t>Přesun hmot, komunikace z kameniva, příplatek 1 km - odvoz na skládku dle výběru investora (Pístov, Jihlava, ul. Škroupova - Pístov = 5,0 km).
Výpočet - výměra, rozměr:
5*18,07*0,75 =&gt; počet km [-] * celk. odebraná hmotnost vrstev komunikace [t] =&gt; z toho 75%</t>
  </si>
  <si>
    <t>Přesun hmot, kryt živičný příplatek 1 km - odvoz na skládku dle výběru investora (Pístov, Jihlava, ul. Škroupova - Pístov = 5,0 km).
Výpočet - výměra, rozměr:
5*18,07*0,25 =&gt; počet [km] * celk. odebraná hmotnost vrstev komunikace [t] =&gt; z toho 25%</t>
  </si>
  <si>
    <t>M004VD</t>
  </si>
  <si>
    <t>Montáže kanalizace</t>
  </si>
  <si>
    <t>004000010VD</t>
  </si>
  <si>
    <t>Napojení uličních vpustí na dešťovou kanalizaci (M+D)</t>
  </si>
  <si>
    <t>soubor</t>
  </si>
  <si>
    <t>M004VD_</t>
  </si>
  <si>
    <t>Napojení uličních vpustí na kanalizaci - 2 ks bodových vpustí z jiné PD. (M+D)
Výpočet - výměra, rozměr:
2 =&gt; počet napojení [ks = souborů]</t>
  </si>
  <si>
    <t>Stavba běžného charakteru a náročnosti s důrazem na koordinaci prací.</t>
  </si>
  <si>
    <t>KANALIZAČNÍ PŘÍPOJKY PRO BODOVÉ ULIČNÍ VPUSTI (V2 až V5)</t>
  </si>
  <si>
    <t>DSO 302.I.1. KANALIZAČNÍ PŘÍPOJKY PRO BODOVÉ ULIČNÍ VPUSTI (V2 až V5)</t>
  </si>
  <si>
    <t>DSO 302.I.2. KANALIZAČNÍ ODBOČENÍ č.p. 4804/6</t>
  </si>
  <si>
    <t>Dočasné zajištění kabelů ve výkopu vzniklé křížením, např.: podepřením, tvárnicemi, zákrytovými deskami.
Výpočet - výměra, rozměr:
3*1,53*1,00 =&gt; počet křížení [ks] * prům. šířka rýhy [m] =&gt; z toho 100%</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</si>
  <si>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3,50*1,53*1,05 =&gt; celk. délka tras(y) / úsek(ů) kan. odbočení [m] * prům. šíře rýhy [m] + rezerva 5%</t>
  </si>
  <si>
    <t>Sejmutí ornice s přemístěním do 50 m, uložením na dočasnou skládku / mezideponii.
Výpočet - výměra, rozměr:
2,00*1,53*0,20*1,05 =&gt; celk. délka tras(y) / úsek(ů) odbočení [m] * prům. šíře [m] * tl. vrstvy [m] + rezerva 5%</t>
  </si>
  <si>
    <t>Příplatek za ztížení vykopávky v blízkosti vedení (NN, optické vedení, metalové vedení, plynovod).
Výpočet - výměra, rozměr:
3*0,50 =&gt; počet křížení [ks] * pr. kubatura na křížení [m3]</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</si>
  <si>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(III. tř. horniny) + 5% rezerva
3,50*1,62*0,50*1,05 =&gt; MOK: délka trasy / úseku [m] * prům. plocha výkopu [m2] * 50% (III. tř. horniny) + 5% rezerva
2,00*2,19*0,50*1,05 =&gt; NEZPEVNĚNO: délka trasy / úseku [m] * prům. plocha výkopu [m2] * 50% (III. tř. horniny) + 5% rezerva
0*1,62*0,50*1,05 =&gt; CHODNÍKY: délka trasy / úseku [m] * prům. plocha výkopu [m2] * 50% (III. tř. horniny) + 5% rezerva
0*2,19*0,50*1,05 =&gt; ŠTĚRK: délka trasy / úseku [m] * prům. plocha výkopu [m2] * 50% (III. tř. horniny) + 5% rezerva</t>
  </si>
  <si>
    <t>Příplatek za lepivost, 50% celkového objemu výkopu. Do měrných jednotek se udává poměrné množství zeminy, které ulpí v nářadí a o které je snížen celkový výkon stroje.
Výpočet - výměra, rozměr:
5,28 [m3] * 0,50 [%] =&gt; převzaté č. pol. 132201212R00 (Hloubení rýh š.do 200 cm hor.3 do 1 000m3,STROJNĚ)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</si>
  <si>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(IV. horniny) + 5% rezerva
3,50*1,62*0,50*1,05 =&gt; MOK: délka trasy / úseku [m] * prům. plocha výkopu [m2] * 50% (IV. tř. horniny) + 5% rezerva
2,00*2,19*0,50*1,05 =&gt; NEZPEVNĚNO: délka trasy / úseku [m] * prům. plocha výkopu [m2] * 50% (IV. tř. horniny) + 5% rezerva
0*1,62*0,50*1,05 =&gt; CHODNÍKY: délka trasy / úseku [m] * prům. plocha výkopu [m2] * 50% (IV. tř. horniny) + 5% rezerva
0*2,19*0,50*1,05 =&gt; ŠTĚRK: délka trasy / úseku [m] * prům. plocha výkopu [m2] * 50% (IV. tř. horniny) + 5% rezerva</t>
  </si>
  <si>
    <t>Příplatek za lepivost, 25% celkového objemu výkopu. Do měrných jednotek se udává poměrné množství zeminy, které ulpí v nářadí a o které je snížen celkový výkon stroje.
Výpočet - výměra, rozměr:
5,28 [m3] * 0,25 [%] =&gt; převzaté č. pol. 132301212R00 (Hloubení rýh v hor.4 do 1 000m3,STROJNĚ) * 25% z výkopku</t>
  </si>
  <si>
    <t>Pažení a rozepření stěny rýhy - příložné - hl. do 4 m. D+M
Výpočet - výměra, rozměr:
5,50*2,00*2*0,25 =&gt; celk. délka trasy / úseku kan. odbočení [m] * průměrná výška [m] * počet stěn [ks] - 25% z toho</t>
  </si>
  <si>
    <t>Odstranění pažení a rozepření stěny rýhy - příložné - hl. do 4 m. D+M
Výpočet - výměra, rozměr:
5,50*2,00*2*0,25 =&gt; délka trasy / úseku / stoky [m] * průměrná výška [m] * počet stěn [ks] - 25% z toho</t>
  </si>
  <si>
    <t>Svislé přemístění výkopku z hor.1-4 do 2,5 m bez naložení do dopravní nádoby, ale s vyprázdněním dopravní nádoby na hromadu nebo na dopravní prostředek.
- hloubení rýh objemu nad 100 m3 (stavba globálně): 50 %
viz. TABULKA TĚŽITELNOSTI HORNIN
Výpočet - výměra, rozměr:
(5,28+5,28)*0,50 =&gt; součet výkopů I. až IV. tř.  *  50 %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</si>
  <si>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(5,28+5,28) =&gt; celkový výkop hor. tř. I.-IV. [m3]
-6,89 =&gt; odečet kubatury potřebné k zásypu [m3]</t>
  </si>
  <si>
    <t>Nakládání, skládání, překládání neulehlého výkopku z hor.1-4 v množství do 100 m3</t>
  </si>
  <si>
    <t>Naložení a složení výkopku tř. 1. až 4. z mezideponie pro zásyp rýhy.
Výpočet - výměra, rozměr:
2*6,89 =&gt; počet nakládání / skládání [-] * kubatura horniny tř. I. - IV. potřebná pro zásyp [m3]</t>
  </si>
  <si>
    <t>Položka obsahuje naložení, odvoz výkopku na mezideponii, složení výkopku a zpáteční cestu.
Výpočet - výměra, rozměr:
2*6,89 =&gt; 1x odvoz + 1x dovoz [-] * kubatura horniny tř. I. - IV. potřebná pro zásyp [m3]</t>
  </si>
  <si>
    <t>Nakládání, skládání, překládání ornice v množství do 100 m3 na / (z) mezideponii(e).
Výpočet - výměra, rozměr:
2*0,64 =&gt; počet nakládání / skládání [-] * kubatura ornice [m3]</t>
  </si>
  <si>
    <t>Vodorovné přemístění ornice - odvoz / dovoz - mezideponie.
Výpočet - výměra, rozměr:
2*0,64 =&gt; počet přesunů 1x odvoz, 1x dovoz [-] * kubatura ornice [m3]</t>
  </si>
  <si>
    <t>Obsyp hutnitelným nesoudržným materiálem = prosívkou (f = 0-4 mm pro PP / PVC) , pro jakoukoliv hloubku výkopu a jakoukoliv míru zhutnění, včetně dodávky obsypového materiálu. D+M
Výpočet - výměra, rozměr:
0,49*5,50*1,15 =&gt; plocha obsypu [m2] * délka trasy / úseku kan. odbočení [m] + rezerva 5% na zhutnění
-(3,14*0,08^2*5,50) =&gt; odečet kubatury vytlačené potrubím [m3] - DN 150</t>
  </si>
  <si>
    <t>Příplatek za prohození sypaniny pro obsyp potrubí.
Výpočet - výměra, rozměr:
2,99 =&gt; kubatura obsypu [m] - převzato z předchozí položky</t>
  </si>
  <si>
    <t>Zásyp jam, rýh, šachet se zhutněním z jakékoliv horniny (tř. I - IV.) s uložením výkopku po vrtstvách, vhodná zemina ze staveniště k zásypům (posouzeno bude geologem), max. vel. kamene 100 mm.
Výpočet - výměra, rozměr:
0*0,46*1,05 =&gt; KSÚS: délka trasy / úseku [m] * prům. plocha zásypu [m2] + 5% rezerva (max. míra zhutnění)
3,50*0,99*1,05 =&gt; MOK: délka trasy / úseku [m] * prům. plocha zásypu [m2] + 5% rezerva (max. míra zhutnění)
2,00*1,55*1,05 =&gt; NEZPEVNĚNO: délka trasy / úseku [m] * prům. plocha zásypu [m2] + 5% rezerva (max. míra zhutnění)
0*0,99*1,05 =&gt; CHODNÍKY: délka trasy / úseku [m] * prům. plocha zásypu [m2] + 5% rezerva (max. míra zhutnění)
0*1,55*1,05 =&gt; ŠTĚRK: délka trasy / úseku [m] * prům. plocha zásypu [m2] + 5% rezerva (max. míra zhutnění)</t>
  </si>
  <si>
    <t>Zhutnění lože pod potrubím, vibrační deskou / válcem.
Výpočet - výměra, rozměr:
5,50*0,96*1,10 =&gt; celk. délka kan. odbočení [m] * šířka lože [m] + rezerva 10%</t>
  </si>
  <si>
    <t>Zhotovení podkladního lože pod odpadní potrubí z lom. prosívky f = 0 až 4 mm, včetně dodávky prosívky. D+M
viz. PODÉLNÉ PROFILY / ULOŽENÍ TRUB
Výpočet - výměra, rozměr:
5,50*0,96*0,15*1,1 =&gt; celk. délka trasy / úseku kan. odbočení [m] * šířka lože [m] * tl. vrstvy [m] + 10% rezerva
m3 prosívky = cca 2,34 T</t>
  </si>
  <si>
    <t>Podklad ze štěrkodrti, f = 0 - 63 mm, po zhutnění tl. vrstvy 20 cm, včetně dodávky štěrkodrti. D+M
Výpočet - výměra, rozměr:
3,50*1,43*1,05 =&gt; délka úseku(ů) [m] * prům. šíře rýhy [m] + rezerva 5%</t>
  </si>
  <si>
    <t>Podkladní vrstva z kameniva drceného, f = 32 - 63 mm, s výplň.kamen., tl. vrstvy 20 cm, včetně dodávky kameniva. D+M
Výpočet - výměra, rozměr:
3,50*1,49*1,05 =&gt; délka úseku(ů) [m] * prům. šíře rýhy [m] + rezerva 5%</t>
  </si>
  <si>
    <t>Provizorní pojízdná vrstva ze štěrkodrti, f = 0 - 32 mm, tl. vrstvy 15 cm, včetně dodávky štěrkodrti. D+M
Výpočet - výměra, rozměr:
3,50*1,53 =&gt; délka úseku(ů) [m] * prům. šíře rýhy [m]</t>
  </si>
  <si>
    <t>Kanalizační přípojka z trub PVC / PP, D 160 mm, položka obsahuje:
- náklady na dodávku a montáž PVC / PP potrubí bez ohledu na kruhovou tuhost potrubí, 
- napojení na odbočné místo (odbočky jsou součástí jednotlivých splaškových kanalizačních stok), 
- dodávku a montáž tvarovek jednoosých (pro jednu odbočku: 1x koleno 45°, 1x koleno 30°, 3x koleno 15°),
- napojení na domovní revizní šachtu (bez dodávky a montáže domovní revizní šachty),
- zkoušku těsnosti potrubí,
- dodávka a montáž kanalizačního víčka D 160 mm. 
Výpočet - výměra, rozměr:
5,50 =&gt; délka kanalizačního/ch odbočení [m]</t>
  </si>
  <si>
    <t>Výpočet - výměra, rozměr:
5,06*0,75 =&gt; celková hmotnost odebraných konstrukcí komunikací [t]  =&gt; z toho prům. 75%</t>
  </si>
  <si>
    <t>Stavba běžného charakteru a náročnosti s důrazem na koordinaci prací.
Dokumentace:</t>
  </si>
  <si>
    <t>Dočasné zajištění kabelů ve výkopu vzniklé křížením, např.: podepřením, tvárnicemi, zákrytovými deskami.
Výpočet - výměra, rozměr:
1*1,53*1,00 =&gt; počet křížení [ks] * prům. šířka rýhy [m] =&gt; z toho 100%</t>
  </si>
  <si>
    <t>Dočasné zajištění potrubí ve výkopu vzniklé křížením (příp. souběhy), např.: podepřením, tvárnicemi, zákrytovými deskami.
Výpočet - výměra, rozměr:
1*1,53*1,00 =&gt; počet křížení [ks] * prům. šířka rýhy [m] =&gt; z toho 100%</t>
  </si>
  <si>
    <t>113106030RAB</t>
  </si>
  <si>
    <t>Odstranění zám.dlažby 8 cm vč.podkladu,pl.do 50 m2 - DLAŽBY, ZPEVNĚNÉ VSTUPY, VJEZDY</t>
  </si>
  <si>
    <t>Rozebrání dlažeb / vstupů / vjezdů ze zámkové dlažby v kamenivu, resp. v štěrkovém loži. 
Položka je určená pro rozebrání zámkových dlažeb, tl. 8 cm, včetně odebrání ložních a konstrukčních štěrkových, příp. štěrkopískových vrstev s naložením na dopravní prostředek a odvozem na skládku do 1 km.
Položka obsahuje: 
- rozebrání dlažebních kostek, tl. 8 cm
- odstranění ložní vrstvy štěrkopísku (f = 0 - 4 mm), tl. 4 cm,
- odstranění štěrkového podkladu, tl. do 50 cm
- nakládání suti, vodorovná doprava suti do 1 km
Výpočet - výměra, rozměr:
1,50*1,53*1,05 =&gt; celk. délka tras(y) / úsek(ů) kan. odbočení [m] * prům. šíře rýhy [m] + rezerva 5%</t>
  </si>
  <si>
    <t>Odstranění podkladu pl. do 50 m2,kam.těžené tl.15 cm - MOK</t>
  </si>
  <si>
    <t>Odstranění podkladu do 50 m2,kam.těžené tl. 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3,50*1,53 =&gt; (MOK): délka úseku [m] * prům. šíře rýhy [m]</t>
  </si>
  <si>
    <t>Příplatek za ztížení vykopávky v blízkosti vedení (NN, optické vedení, metalové vedení, plynovod).
Výpočet - výměra, rozměr:
(1+1)*0,50 =&gt; počet křížení [ks] * pr. kubatura na křížení [m3]</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</si>
  <si>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(III. tř. horniny) + 5% rezerva
3,50*1,62*0,50*1,05 =&gt; MOK: délka trasy / úseku [m] * prům. plocha výkopu [m2] * 50% (III. tř. horniny) + 5% rezerva
0*2,19*0,50*1,05 =&gt; NEZPEVNĚNO: délka trasy / úseku [m] * prům. plocha výkopu [m2] * 50% (III. tř. horniny) + 5% rezerva
1,50*1,62*0,50*1,05 =&gt; CHODNÍKY: délka trasy / úseku [m] * prům. plocha výkopu [m2] * 50% (III. tř. horniny) + 5% rezerva
0*2,19*0,50*1,05 =&gt; ŠTĚRK: délka trasy / úseku [m] * prům. plocha výkopu [m2] * 50% (III. tř. horniny) + 5% rezerva</t>
  </si>
  <si>
    <t>Příplatek za lepivost, 50% celkového objemu výkopu. Do měrných jednotek se udává poměrné množství zeminy, které ulpí v nářadí a o které je snížen celkový výkon stroje.
Výpočet - výměra, rozměr:
4,26 [m3] * 0,50 [%] =&gt; převzaté č. pol. 132201213R00 (Hloubení rýh š.do 200 cm hor.3 do 1 000m3,STROJNĚ)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</si>
  <si>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(IV. horniny) + 5% rezerva
3,50*1,62*0,50*1,05 =&gt; MOK: délka trasy / úseku [m] * prům. plocha výkopu [m2] * 50% (IV. tř. horniny) + 5% rezerva
0*2,19*0,50*1,05 =&gt; NEZPEVNĚNO: délka trasy / úseku [m] * prům. plocha výkopu [m2] * 50% (IV. tř. horniny) + 5% rezerva
1,50*1,62*0,50*1,05 =&gt; CHODNÍKY: délka trasy / úseku [m] * prům. plocha výkopu [m2] * 50% (IV. tř. horniny) + 5% rezerva
0*2,19*0,50*1,05 =&gt; ŠTĚRK: délka trasy / úseku [m] * prům. plocha výkopu [m2] * 50% (IV. tř. horniny) + 5% rezerva</t>
  </si>
  <si>
    <t>Příplatek za lepivost, 25% celkového objemu výkopu. Do měrných jednotek se udává poměrné množství zeminy, které ulpí v nářadí a o které je snížen celkový výkon stroje.
Výpočet - výměra, rozměr:
4,26 [m3] * 0,25 [%] =&gt; převzaté č. pol. 132301213R00 (Hloubení rýh v hor.4 do 10 000m3,STROJNĚ) * 25% z výkopku</t>
  </si>
  <si>
    <t>Pažení a rozepření stěny rýhy - příložné - hl. do 4 m. D+M
Výpočet - výměra, rozměr:
5,00*2,00*2*0,25 =&gt; celk. délka trasy / úseku kan. odbočení [m] * průměrná výška [m] * počet stěn [ks] - 25% z toho</t>
  </si>
  <si>
    <t>Odstranění pažení a rozepření stěny rýhy - příložné - hl. do 4 m. D+M
Výpočet - výměra, rozměr:
5,00*2,00*2*0,25 =&gt; délka trasy / úseku / stoky [m] * průměrná výška [m] * počet stěn [ks] - 25% z toho</t>
  </si>
  <si>
    <t>Svislé přemístění výkopku z hor.1-4 do 2,5 m bez naložení do dopravní nádoby, ale s vyprázdněním dopravní nádoby na hromadu nebo na dopravní prostředek.
- hloubení rýh objemu nad 100 m3 (stavba globálně): 50 %
viz. TABULKA TĚŽITELNOSTI HORNIN
Výpočet - výměra, rozměr:
(4,26+4,26)*0,50 =&gt; součet výkopů I. až IV. tř.  *  50 %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</si>
  <si>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(4,26+4,26) =&gt; celkový výkop hor. tř. I.-IV. [m3]
-5,20 =&gt; odečet kubatury potřebné k zásypu [m3]</t>
  </si>
  <si>
    <t>Naložení a složení výkopku tř. 1. až 4. z mezideponie pro zásyp rýhy.
Výpočet - výměra, rozměr:
2*5,20 =&gt; počet nakládání / skládání [-] * kubatura horniny tř. I. - IV. potřebná pro zásyp [m3]</t>
  </si>
  <si>
    <t>Položka obsahuje naložení, odvoz výkopku na mezideponii, složení výkopku a zpáteční cestu.
Výpočet - výměra, rozměr:
2*5,20 =&gt; 1x odvoz + 1x dovoz [-] * kubatura horniny tř. I. - IV. potřebná pro zásyp [m3]</t>
  </si>
  <si>
    <t>Obsyp hutnitelným nesoudržným materiálem = prosívkou (f = 0-4 mm pro PP / PVC) , pro jakoukoliv hloubku výkopu a jakoukoliv míru zhutnění, včetně dodávky obsypového materiálu. D+M
Výpočet - výměra, rozměr:
0,49*5,0*1,15 =&gt; plocha obsypu [m2] * délka trasy / úseku kan. odbočení [m] + rezerva 5% na zhutnění
-(3,14*0,08^2*5,0) =&gt; odečet kubatury vytlačené potrubím [m3] - DN 150</t>
  </si>
  <si>
    <t>Příplatek za prohození sypaniny pro obsyp potrubí.
Výpočet - výměra, rozměr:
2,72 =&gt; kubatura obsypu [m] - převzato z předchozí položky</t>
  </si>
  <si>
    <t>Zásyp jam, rýh, šachet se zhutněním z jakékoliv horniny (tř. I - IV.) s uložením výkopku po vrtstvách, vhodná zemina ze staveniště k zásypům (posouzeno bude geologem), max. vel. kamene 100 mm.
Výpočet - výměra, rozměr:
0*0,46*1,05 =&gt; KSÚS: délka trasy / úseku [m] * prům. plocha zásypu [m2] + 5% rezerva (max. míra zhutnění)
3,50*0,99*1,05 =&gt; MOK: délka trasy / úseku [m] * prům. plocha zásypu [m2] + 5% rezerva (max. míra zhutnění)
0*1,55*1,05 =&gt; NEZPEVNĚNO: délka trasy / úseku [m] * prům. plocha zásypu [m2] + 5% rezerva (max. míra zhutnění)
1,50*0,99*1,05 =&gt; CHODNÍKY: délka trasy / úseku [m] * prům. plocha zásypu [m2] + 5% rezerva (max. míra zhutnění)
0*1,55*1,05 =&gt; ŠTĚRK: délka trasy / úseku [m] * prům. plocha zásypu [m2] + 5% rezerva (max. míra zhutnění)</t>
  </si>
  <si>
    <t>Zhutnění lože pod potrubím, vibrační deskou / válcem.
Výpočet - výměra, rozměr:
5,00*0,96*1,10 =&gt; celk. délka kan. odbočení [m] * šířka lože [m] + rezerva 10%</t>
  </si>
  <si>
    <t>Zhotovení podkladního lože pod odpadní potrubí z lom. prosívky f = 0 až 4 mm, včetně dodávky prosívky. D+M
viz. PODÉLNÉ PROFILY / ULOŽENÍ TRUB
Výpočet - výměra, rozměr:
5,00*0,96*0,15*1,1 =&gt; celk. délka trasy / úseku kan. odbočení [m] * šířka lože [m] * tl. vrstvy [m] + 10% rezerva
m3 prosívky = cca 2,34 T</t>
  </si>
  <si>
    <t>Kanalizační přípojka z trub PVC / PP, D 160 mm, položka obsahuje:
- náklady na dodávku a montáž PVC / PP potrubí bez ohledu na kruhovou tuhost potrubí, 
- napojení na odbočné místo (odbočky jsou součástí jednotlivých splaškových kanalizačních stok), 
- dodávku a montáž tvarovek jednoosých (pro jednu odbočku: 1x koleno 45°, 1x koleno 30°, 3x koleno 15°),
- napojení na domovní revizní šachtu (bez dodávky a montáže domovní revizní šachty),
- zkoušku těsnosti potrubí,
- dodávka a montáž kanalizačního víčka D 160 mm. 
Výpočet - výměra, rozměr:
5,00 =&gt; délka kanalizačního/ch odbočení [m]</t>
  </si>
  <si>
    <t>Přesun hmot, komunikace z kameniva, příplatek 1 km - odvoz na skládku dle výběru investora (Pístov, Jihlava, ul. Škroupova - Pístov = 5,0 km).
Výpočet - výměra, rozměr:
5*6,83*0,75 =&gt; počet km [-] * celk. odebraná hmotnost vrstev komunikace [t] =&gt; z toho 75%</t>
  </si>
  <si>
    <t>Přesun hmot, kryt živičný příplatek 1 km - odvoz na skládku dle výběru investora (Pístov, Jihlava, ul. Škroupova - Pístov = 5,0 km).
Výpočet - výměra, rozměr:
5*6,83*0,25 =&gt; počet [km] * celk. odebraná hmotnost vrstev komunikace [t] =&gt; z toho 25%</t>
  </si>
  <si>
    <t>DSO 302.I.4. KANALIZAČNÍ ODBOČENÍ č.p. 850/4</t>
  </si>
  <si>
    <t>DSO 302.I.5. KANALIZAČNÍ ODBOČENÍ č.p. 5073/1</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</si>
  <si>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2,50*1,53*1,05 =&gt; celk. délka tras(y) / úsek(ů) kan. odbočení [m] * prům. šíře rýhy [m] + rezerva 5%</t>
  </si>
  <si>
    <t>113107320R00</t>
  </si>
  <si>
    <t>Odstranění podkladu pl. 50 m2,kam.těžené tl.20 cm - ŠTĚRK</t>
  </si>
  <si>
    <t>Odstranění podkladu do 50 m2,kam.těžené tl. 20 cm - odstranění stávajících štěrkových ploch.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2,50*1,53 =&gt; (MOK): délka úseku [m] * prům. šíře rýhy [m]</t>
  </si>
  <si>
    <t>Odstranění podkladu do 50 m2,kam.těžené tl. 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2,50*1,53 =&gt; (MOK): délka úseku [m] * prům. šíře rýhy [m]</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</si>
  <si>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(III. tř. horniny) + 5% rezerva
2,50*1,62*0,50*1,05 =&gt; MOK: délka trasy / úseku [m] * prům. plocha výkopu [m2] * 50% (III. tř. horniny) + 5% rezerva
0*2,19*0,50*1,05 =&gt; NEZPEVNĚNO: délka trasy / úseku [m] * prům. plocha výkopu [m2] * 50% (III. tř. horniny) + 5% rezerva
0*1,62*0,50*1,05 =&gt; CHODNÍKY: délka trasy / úseku [m] * prům. plocha výkopu [m2] * 50% (III. tř. horniny) + 5% rezerva
2,50*2,19*0,50*1,05 =&gt; ŠTĚRK: délka trasy / úseku [m] * prům. plocha výkopu [m2] * 50% (III. tř. horniny) + 5% rezerva</t>
  </si>
  <si>
    <t>Příplatek za lepivost, 50% celkového objemu výkopu. Do měrných jednotek se udává poměrné množství zeminy, které ulpí v nářadí a o které je snížen celkový výkon stroje.
Výpočet - výměra, rozměr:
5,00 [m3] * 0,50 [%] =&gt; převzaté č. pol. 132201213R00 (Hloubení rýh š.do 200 cm hor.3 do 1 000m3,STROJNĚ)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</si>
  <si>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(IV. horniny) + 5% rezerva
2,50*1,62*0,50*1,05 =&gt; MOK: délka trasy / úseku [m] * prům. plocha výkopu [m2] * 50% (IV. tř. horniny) + 5% rezerva
0*2,19*0,50*1,05 =&gt; NEZPEVNĚNO: délka trasy / úseku [m] * prům. plocha výkopu [m2] * 50% (IV. tř. horniny) + 5% rezerva
0*1,62*0,50*1,05 =&gt; CHODNÍKY: délka trasy / úseku [m] * prům. plocha výkopu [m2] * 50% (IV. tř. horniny) + 5% rezerva
2,50*2,19*0,50*1,05 =&gt; ŠTĚRK: délka trasy / úseku [m] * prům. plocha výkopu [m2] * 50% (IV. tř. horniny) + 5% rezerva</t>
  </si>
  <si>
    <t>Příplatek za lepivost, 25% celkového objemu výkopu. Do měrných jednotek se udává poměrné množství zeminy, které ulpí v nářadí a o které je snížen celkový výkon stroje.
Výpočet - výměra, rozměr:
5,00 [m3] * 0,25 [%] =&gt; převzaté č. pol. 132301212R00 (Hloubení rýh v hor.4 do 1 000m3,STROJNĚ) * 25% z výkopku</t>
  </si>
  <si>
    <t>Svislé přemístění výkopku z hor.1-4 do 2,5 m bez naložení do dopravní nádoby, ale s vyprázdněním dopravní nádoby na hromadu nebo na dopravní prostředek.
- hloubení rýh objemu nad 100 m3 (stavba globálně): 50 %
viz. TABULKA TĚŽITELNOSTI HORNIN
Výpočet - výměra, rozměr:
(5,00+5,00)*0,50 =&gt; součet výkopů I. až IV. tř.  *  50 %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</si>
  <si>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(5,00+5,00) =&gt; celkový výkop hor. tř. I.-IV. [m3]
-6,67 =&gt; odečet kubatury potřebné k zásypu [m3]</t>
  </si>
  <si>
    <t>Naložení a složení výkopku tř. 1. až 4. z mezideponie pro zásyp rýhy.
Výpočet - výměra, rozměr:
2*6,67 =&gt; počet nakládání / skládání [-] * kubatura horniny tř. I. - IV. potřebná pro zásyp [m3]</t>
  </si>
  <si>
    <t>Položka obsahuje naložení, odvoz výkopku na mezideponii, složení výkopku a zpáteční cestu.
Výpočet - výměra, rozměr:
2*6,67 =&gt; 1x odvoz + 1x dovoz [-] * kubatura horniny tř. I. - IV. potřebná pro zásyp [m3]</t>
  </si>
  <si>
    <t>Obsyp hutnitelným nesoudržným materiálem = prosívkou (f = 0-4 mm pro PP / PVC) , pro jakoukoliv hloubku výkopu a jakoukoliv míru zhutnění, včetně dodávky obsypového materiálu. D+M
Výpočet - výměra, rozměr:
0,52*5,0*1,15 =&gt; plocha obsypu [m2] * délka trasy / úseku kan. odbočení [m] + rezerva 5% na zhutnění
-(3,14*0,125^2*5,0)	odečet kubatury vytlačené potrubím [m3] - DN 250</t>
  </si>
  <si>
    <t>Příplatek za prohození sypaniny pro obsyp potrubí.
Výpočet - výměra, rozměr:
2,74 =&gt; kubatura obsypu [m] - převzato z předchozí položky</t>
  </si>
  <si>
    <t>Zásyp jam, rýh, šachet se zhutněním z jakékoliv horniny (tř. I - IV.) s uložením výkopku po vrtstvách, vhodná zemina ze staveniště k zásypům (posouzeno bude geologem), max. vel. kamene 100 mm.
Výpočet - výměra, rozměr:
0*0,46*1,05 =&gt; KSÚS: délka trasy / úseku [m] * prům. plocha zásypu [m2] + 5% rezerva (max. míra zhutnění)
2,50*0,99*1,05 =&gt; MOK: délka trasy / úseku [m] * prům. plocha zásypu [m2] + 5% rezerva (max. míra zhutnění)
0*1,55*1,05 =&gt; NEZPEVNĚNO: délka trasy / úseku [m] * prům. plocha zásypu [m2] + 5% rezerva (max. míra zhutnění)
0*0,99*1,05 =&gt; CHODNÍKY: délka trasy / úseku [m] * prům. plocha zásypu [m2] + 5% rezerva (max. míra zhutnění)
2,50*1,55*1,05 =&gt; ŠTĚRK: délka trasy / úseku [m] * prům. plocha zásypu [m2] + 5% rezerva (max. míra zhutnění)</t>
  </si>
  <si>
    <t>Podklad ze štěrkodrti, f = 0 - 63 mm, po zhutnění tl. vrstvy 20 cm, včetně dodávky štěrkodrti. D+M
Výpočet - výměra, rozměr:
2,50*1,43*1,05 =&gt; délka úseku(ů) [m] * prům. šíře rýhy [m] + rezerva 5%</t>
  </si>
  <si>
    <t>Podkladní vrstva z kameniva drceného, f = 32 - 63 mm, s výplň.kamen., tl. vrstvy 20 cm, včetně dodávky kameniva. D+M
Výpočet - výměra, rozměr:
2,50*1,49*1,05 =&gt; délka úseku(ů) [m] * prům. šíře rýhy [m] + rezerva 5%</t>
  </si>
  <si>
    <t>831350114RA0.1</t>
  </si>
  <si>
    <t>Kanalizační přípojka z trub PVC/PP, D 250 mm</t>
  </si>
  <si>
    <t>Kanalizační přípojka z trub PVC / PP, D 250 mm, položka obsahuje:
- náklady na dodávku a montáž PVC / PP potrubí bez ohledu na kruhovou tuhost potrubí, 
- napojení na odbočné místo (odbočky jsou součástí jednotlivých splaškových kanalizačních stok), 
- dodávku a montáž tvarovek jednoosých (pro jednu odbočku: 1x koleno 45°, 1x koleno 30°, 3x koleno 15°),
- napojení na domovní revizní šachtu (bez dodávky a montáže domovní revizní šachty),
- zkoušku těsnosti potrubí,
- dodávka a montáž kanalizačního víčka D 250 mm. 
Výpočet - výměra, rozměr:
5,00 =&gt; délka kanalizačního/ch odbočení [m]</t>
  </si>
  <si>
    <t>Výpočet - výměra, rozměr:
6,57*0,75 =&gt; celková hmotnost odebraných konstrukcí komunikací [t]  =&gt; z toho prům. 75%</t>
  </si>
  <si>
    <t>Přesun hmot, komunikace z kameniva, příplatek 1 km - odvoz na skládku dle výběru investora (Pístov, Jihlava, ul. Škroupova - Pístov = 5,0 km).
Výpočet - výměra, rozměr:
5*6,57*0,75 =&gt; počet km [-] * celk. odebraná hmotnost vrstev komunikace [t] =&gt; z toho 75%</t>
  </si>
  <si>
    <t>Přesun hmot, kryt živičný příplatek 1 km - odvoz na skládku dle výběru investora (Pístov, Jihlava, ul. Škroupova - Pístov = 5,0 km).
Výpočet - výměra, rozměr:
5*6,57*0,25 =&gt; počet [km] * celk. odebraná hmotnost vrstev komunikace [t] =&gt; z toho 25%</t>
  </si>
  <si>
    <t>M46</t>
  </si>
  <si>
    <t>Zemní práce při montážích</t>
  </si>
  <si>
    <t>460650001R00.1</t>
  </si>
  <si>
    <t>Příjezdová cesta štěrková / štěrkový povrch - ŠTĚRK / CESTA</t>
  </si>
  <si>
    <t>M46_</t>
  </si>
  <si>
    <t>Příjezdová cesta štěrková šířky do 4 m (šťerkové povrchy), obnova štěrkového povrchu. M+D
Výpočet - výměra, rozměr:
2,50*1,53*0,20*1,05 =&gt; délka štěrk. cesty / plochy [m] * prům. šířka rýhy [m] * tl. vrstvy [m] + 5% rezerva</t>
  </si>
  <si>
    <t>DSO 302.II.1. KANALIZAČNÍ PŘÍPOJKA PRO MONOLITICKÝ POLYMERBETONOVÝ ŽLAB (PV1)</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</si>
  <si>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1,50*1,53*1,05 =&gt; celk. délka tras(y) / úsek(ů) kan. odbočení [m] * prům. šíře rýhy [m] + rezerva 5%</t>
  </si>
  <si>
    <t>Odstranění podkladu do 50 m2,kam.těžené tl. 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1,50*1,53 =&gt; (MOK): délka úseku [m] * prům. šíře rýhy [m]</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</si>
  <si>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(III. tř. horniny) + 5% rezerva
1,50*1,62*0,50*1,05 =&gt; MOK: délka trasy / úseku [m] * prům. plocha výkopu [m2] * 50% (III. tř. horniny) + 5% rezerva
0*2,19*0,50*1,05 =&gt; NEZPEVNĚNO: délka trasy / úseku [m] * prům. plocha výkopu [m2] * 50% (III. tř. horniny) + 5% rezerva
0*1,62*0,50*1,05 =&gt; CHODNÍKY: délka trasy / úseku [m] * prům. plocha výkopu [m2] * 50% (III. tř. horniny) + 5% rezerva
0*2,19*0,50*1,05 =&gt; ŠTĚRK: délka trasy / úseku [m] * prům. plocha výkopu [m2] * 50% (III. tř. horniny) + 5% rezerva</t>
  </si>
  <si>
    <t>Příplatek za lepivost, 50% celkového objemu výkopu. Do měrných jednotek se udává poměrné množství zeminy, které ulpí v nářadí a o které je snížen celkový výkon stroje.
Výpočet - výměra, rozměr:
1,28 [m3] * 0,50 [%] =&gt; převzaté č. pol. 132201212R00 (Hloubení rýh š.do 200 cm hor.3 do 1 000 m3, 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</si>
  <si>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0*1,32*0,50*1,05 =&gt; KSÚS: délka trasy / úseku [m] * prům. plocha výkopu [m2] * 50% (IV. horniny) + 5% rezerva
1,50*1,62*0,50*1,05 =&gt; MOK: délka trasy / úseku [m] * prům. plocha výkopu [m2] * 50% (IV. tř. horniny) + 5% rezerva
0*2,19*0,50*1,05 =&gt; NEZPEVNĚNO: délka trasy / úseku [m] * prům. plocha výkopu [m2] * 50% (IV. tř. horniny) + 5% rezerva
0*1,62*0,50*1,05 =&gt; CHODNÍKY: délka trasy / úseku [m] * prům. plocha výkopu [m2] * 50% (IV. tř. horniny) + 5% rezerva
0*2,19*0,50*1,05 =&gt; ŠTĚRK: délka trasy / úseku [m] * prům. plocha výkopu [m2] * 50% (IV. tř. horniny) + 5% rezerva</t>
  </si>
  <si>
    <t>Příplatek za lepivost, 25% celkového objemu výkopu. Do měrných jednotek se udává poměrné množství zeminy, které ulpí v nářadí a o které je snížen celkový výkon stroje.
Výpočet - výměra, rozměr:
1,28 [m3] * 0,25 [%] =&gt; převzaté č. pol. 132301212R00 (Hloubení rýh v hor.4 do 1 000m3,STROJNĚ) * 25% z výkopku</t>
  </si>
  <si>
    <t>Svislé přemístění výkopku z hor.1-4 do 2,5 m bez naložení do dopravní nádoby, ale s vyprázdněním dopravní nádoby na hromadu nebo na dopravní prostředek.
- hloubení rýh objemu nad 100 m3 (stavba globálně): 50 %
viz. TABULKA TĚŽITELNOSTI HORNIN
Výpočet - výměra, rozměr:
(1,28+1,28)*0,50 =&gt; součet výkopů I. až IV. tř.  *  50 %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</si>
  <si>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(1,28+1,28) =&gt; celkový výkop hor. tř. I.-IV. [m3]
-1,56 =&gt; odečet kubatury potřebné k zásypu [m3]</t>
  </si>
  <si>
    <t>Nakládání / skládání /překládání výkopku z hor. 1 ÷ 4 v množství do 100 m3</t>
  </si>
  <si>
    <t>Naložení a složení výkopku tř. 1. až 4. z mezideponie pro zásyp rýhy.
Výpočet - výměra, rozměr:
2*1,56 =&gt; počet nakládání / skládání [-] * kubatura horniny tř. I. - IV. potřebná pro zásyp [m3]</t>
  </si>
  <si>
    <t>Obsyp hutnitelným nesoudržným materiálem = prosívkou (f = 0-4 mm pro PP / PVC) , pro jakoukoliv hloubku výkopu a jakoukoliv míru zhutnění, včetně dodávky obsypového materiálu. D+M
Výpočet - výměra, rozměr:
0,49*1,50*1,15 =&gt; plocha obsypu [m2] * délka trasy / úseku kan. odbočení [m] + rezerva 5% na zhutnění
-(3,14*0,08^2*1,50) =&gt; odečet kubatury vytlačené potrubím [m3] - DN 150</t>
  </si>
  <si>
    <t>Příplatek za prohození sypaniny pro obsyp potrubí.
Výpočet - výměra, rozměr:
0,82 =&gt; kubatura obsypu [m] - převzato z předchozí položky</t>
  </si>
  <si>
    <t>Zásyp jam, rýh, šachet se zhutněním z jakékoliv horniny (tř. I - IV.) s uložením výkopku po vrtstvách, vhodná zemina ze staveniště k zásypům (posouzeno bude geologem), max. vel. kamene 100 mm.
Výpočet - výměra, rozměr:
0*0,46*1,05 =&gt; KSÚS: délka trasy / úseku [m] * prům. plocha zásypu [m2] + 5% rezerva (max. míra zhutnění)
1,50*0,99*1,05 =&gt; MOK: délka trasy / úseku [m] * prům. plocha zásypu [m2] + 5% rezerva (max. míra zhutnění)
0*1,55*1,05 =&gt; NEZPEVNĚNO: délka trasy / úseku [m] * prům. plocha zásypu [m2] + 5% rezerva (max. míra zhutnění)
0*0,99*1,05 =&gt; CHODNÍKY: délka trasy / úseku [m] * prům. plocha zásypu [m2] + 5% rezerva (max. míra zhutnění)
0*1,55*1,05 =&gt; ŠTĚRK: délka trasy / úseku [m] * prům. plocha zásypu [m2] + 5% rezerva (max. míra zhutnění)</t>
  </si>
  <si>
    <t>Zhutnění lože pod potrubím, vibrační deskou / válcem.
Výpočet - výměra, rozměr:
1,50*0,96*1,10 =&gt; celk. délka kan. odbočení [m] * šířka lože [m] + rezerva 10%</t>
  </si>
  <si>
    <t>Zhotovení podkladního lože pod odpadní potrubí z lom. prosívky f = 0 až 4 mm, včetně dodávky prosívky. D+M
viz. PODÉLNÉ PROFILY / ULOŽENÍ TRUB
Výpočet - výměra, rozměr:
1,50*0,96*0,15*1,1 =&gt; celk. délka trasy / úseku kan. odbočení [m] * šířka lože [m] * tl. vrstvy [m] + 10% rezerva
m3 prosívky = cca 2,34 T</t>
  </si>
  <si>
    <t>Podklad ze štěrkodrti, f = 0 - 63 mm, po zhutnění tl. vrstvy 25 cm, včetně dodávky štěrkodrti. D+M
Výpočet - výměra, rozměr:
1,50*1,43*1,05 =&gt; délka úseku(ů) [m] * prům. šíře rýhy [m] + rezerva 5%</t>
  </si>
  <si>
    <t>Podkladní vrstva z kameniva drceného, f = 32 - 63 mm, s výplň.kamen., tl. vrstvy 20 cm, včetně dodávky kameniva. D+M
Výpočet - výměra, rozměr:
1,50*1,49*1,05 =&gt; délka úseku(ů) [m] * prům. šíře rýhy [m] + rezerva 5%</t>
  </si>
  <si>
    <t>Provizorní pojízdná vrstva ze štěrkodrti, f = 0 - 32 mm, tl. vrstvy 15 cm, včetně dodávky štěrkodrti. D+M
Výpočet - výměra, rozměr:
1,50*1,53 =&gt; délka úseku(ů) [m] * prům. šíře rýhy [m]</t>
  </si>
  <si>
    <t>Kanalizační přípojka z trub PVC / PP, D 160 mm, položka obsahuje:
- náklady na dodávku a montáž PVC / PP potrubí bez ohledu na kruhovou tuhost potrubí, 
- napojení na odbočné místo (odbočky jsou součástí jednotlivých splaškových kanalizačních stok), 
- dodávku a montáž tvarovek jednoosých (pro jednu odbočku: 1x koleno 45°, 1x koleno 30°, 3x koleno 15°),
- napojení na domovní revizní šachtu (bez dodávky a montáže domovní revizní šachty),
- zkoušku těsnosti potrubí,
- dodávka a montáž kanalizačního víčka D 160 mm. 
Výpočet - výměra, rozměr:
1,50 =&gt; délka kanalizačního/ch odbočení [m]</t>
  </si>
  <si>
    <t>Výpočet - výměra, rozměr:
2,92*0,75 =&gt; celková hmotnost odebraných konstrukcí komunikací [t]  =&gt; z toho prům. 75%</t>
  </si>
  <si>
    <t>Přesun hmot, komunikace z kameniva, příplatek 1 km - odvoz na skládku dle výběru investora (Pístov, Jihlava, ul. Škroupova - Pístov = 5,0 km).
Výpočet - výměra, rozměr:
5*2,92*0,75 =&gt; počet km [-] * celk. odebraná hmotnost vrstev komunikace [t] =&gt; z toho 75%</t>
  </si>
  <si>
    <t>Přesun hmot, kryt živičný příplatek 1 km - odvoz na skládku dle výběru investora (Pístov, Jihlava, ul. Škroupova - Pístov = 5,0 km).
Výpočet - výměra, rozměr:
5*2,92*0,25 =&gt; počet [km] * celk. odebraná hmotnost vrstev komunikace [t] =&gt; z toho 25%</t>
  </si>
  <si>
    <t>Napojení uličních/pásových vpustí na dešťovou kanalizaci (M+D)</t>
  </si>
  <si>
    <t>Napojení uličních vpustí na kanalizaci - 1 ks pásové vpusti (z jiné PD). (M+D)
Výpočet - výměra, rozměr:
1 =&gt; počet napojení [ks = souborů]</t>
  </si>
  <si>
    <t>SO 301.I. VODOVODNÍ ŘAD - I. ETAPA</t>
  </si>
  <si>
    <t>DSO 301.I.1. VODOVODNÍ ODBOČENÍ č.p. 5073/1</t>
  </si>
  <si>
    <t>827131</t>
  </si>
  <si>
    <t>Dočasné zajištění kabelů ve výkopu vzniklé křížením, např.: podepřením, tvárnicemi, zákrytovými deskami.
Výpočet - výměra, rozměr:
1*1,30*1,00 =&gt; počet křížení [ks] * prům. šířka rýhy [m] =&gt; z toho 100%</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</si>
  <si>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1,70*1,30*1,05 =&gt; celk. délka tras(y) / úsek(ů) kan. odbočení [m] * prům. šíře rýhy [m] + rezerva 5%</t>
  </si>
  <si>
    <t>Odstranění podkladu do 50 m2,kam.těžené tl. 20 cm - odstranění stávajících štěrkových ploch.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2,80*1,30 =&gt; (MOK): délka úseku [m] * prům. šíře rýhy [m]</t>
  </si>
  <si>
    <t>Odstranění podkladu do 50 m2,kam.těžené tl. 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1,70*1,30 =&gt; (MOK): délka úseku [m] * prům. šíře rýhy [m]</t>
  </si>
  <si>
    <t>Příplatek za ztížení vykopávky v blízkosti vedení (NN, optické vedení, metalové vedení, plynovod).
Výpočet - výměra, rozměr:
1*0,50*0,50 =&gt; počet křížení [ks] * pr. kubatura na křížení [m3] =&gt; 50% z toho</t>
  </si>
  <si>
    <t>Hloubení rýh š.do 200 cm hor.3 do 1000 m3,STROJNĚ</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</si>
  <si>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0*0,86*0,50*1,05 =&gt; KSÚS: délka trasy / úseku [m] * prům. plocha výkopu [m2] * 50% (III. tř. horniny) + 5% rezerva
1,70*1,11*0,50*1,05 =&gt; MOK: délka trasy / úseku [m] * prům. plocha výkopu [m2] * 50% (III. tř. horniny) + 5% rezerva
2,80*1,58*0,50*1,05 =&gt; NEZPEVNĚNO/ŠTĚRK: délka trasy / úseku [m] * prům. plocha výkopu [m2] * 50% (III. tř. horniny) + 5% rezerva
0*1,11*0,50*1,05 =&gt; CHODNÍKY: délka trasy / úseku [m] * prům. plocha výkopu [m2] * 50% (III. tř. horniny) + 5% rezerva</t>
  </si>
  <si>
    <t>Příplatek za lepivost, 50% celkového objemu výkopu. Do měrných jednotek se udává poměrné množství zeminy, které ulpí v nářadí a o které je snížen celkový výkon stroje.
Výpočet - výměra, rozměr:
3,31 [m3] * 0,50 [%] =&gt; převzaté č. pol. 132201212R00 (Hloubení rýh š.do 200 cm hor.3 do 1 000 m3, 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</si>
  <si>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0,00*0,86*0,50*1,05 =&gt; KSÚS: délka trasy / úseku [m] * prům. plocha výkopu [m2] * 50% (IV. tř. horniny) + 5% rezerva
1,70*1,11*0,50*1,05 =&gt; MOK: délka trasy / úseku [m] * prům. plocha výkopu [m2] * 50% (IV. tř. horniny) + 5% rezerva
2,80*1,58*0,50*1,05 =&gt; NEZPEVNĚNO/ŠTĚRK: délka trasy / úseku [m] * prům. plocha výkopu [m2] * 50% (IV. tř. horniny) + 5% rezerva
0*1,11*0,50*1,05 =&gt; CHODNÍKY: délka trasy / úseku [m] * prům. plocha výkopu [m2] * 50% (IV. tř. horniny) + 5% rezerva</t>
  </si>
  <si>
    <t>Příplatek za lepivost, 25% celkového objemu výkopu. Do měrných jednotek se udává poměrné množství zeminy, které ulpí v nářadí a o které je snížen celkový výkon stroje.
Výpočet - výměra, rozměr:
3,31 [m3] * 0,25 [%] =&gt; převzaté č. pol. 132301212R00 (Hloubení rýh v hor.4 do 1 000 m3, STROJNĚ) * 25% z výkopku</t>
  </si>
  <si>
    <t>Pažení a rozepření stěny rýhy - příložné - hl. do 4 m. D+M
Výpočet - výměra, rozměr:
4,50*1,75*2*0,50 =&gt; celk. délka trasy / úseku kan. odbočení [m] * průměrná výška [m] * počet stěn [ks] - 50% z toho</t>
  </si>
  <si>
    <t>Odstranění pažení a rozepření stěny rýhy - příložné - hl. do 4 m. D+M
Výpočet - výměra, rozměr:
4,50*1,75*2*0,50 =&gt; délka trasy / úseku / stoky [m] * průměrná výška [m] * počet stěn [ks] - 50% z toho</t>
  </si>
  <si>
    <t>Svislé přemístění výkopku z hor.1-4 do 2,5 m bez naložení do dopravní nádoby, ale s vyprázdněním dopravní nádoby na hromadu nebo na dopravní prostředek.
- hloubení rýh objemu nad 100 m3 (stavba globálně): 50 %
viz. TABULKA TĚŽITELNOSTI HORNIN
Výpočet - výměra, rozměr:
(3,31+3,31)*0,50 =&gt; součet výkopů I. až IV. tř.  *  3 %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</si>
  <si>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(3,31+3,31) =&gt; celkový výkop hor. tř. I.-IV. [m3]
-4,67 =&gt; odečet kubatury potřebné k zásypu [m3]</t>
  </si>
  <si>
    <t>Naložení a složení výkopku tř. 1. až 4. z mezideponie pro zásyp rýhy.
Výpočet - výměra, rozměr:
2*4,67 =&gt; počet nakládání / skládání [-] * kubatura horniny tř. I. - IV. potřebná pro zásyp [m3]</t>
  </si>
  <si>
    <t>Položka obsahuje naložení, odvoz výkopku na mezideponii, složení výkopku a zpáteční cestu.
Výpočet - výměra, rozměr:
2*4,67 =&gt; 1x odvoz + 1x dovoz [-] * kubatura horniny tř. I. - IV. potřebná pro zásyp [m3]</t>
  </si>
  <si>
    <t>Obsyp hutnitelným nesoudržným materiálem = prosívkou (f = 0-4 mm pro PE / PP) , pro jakoukoliv hloubku výkopu a jakoukoliv míru zhutnění, včetně dodávky obsypového materiálu. D+M
Výpočet - výměra, rozměr:
0,30*4,50*1,05 =&gt; plocha obsypu [m2] * délka trasy / úseku kan. odbočení [m] + rezerva 5% na zhutnění
-(3,14*0,0315^2*4,50) =&gt; odečet kubatury vytlačené potrubím [m3] - DN 50</t>
  </si>
  <si>
    <t>Příplatek za prohození sypaniny pro obsyp potrubí.
Výpočet - výměra, rozměr:
1,41 =&gt; kubatura obsypu [m] - převzato z předchozí položky</t>
  </si>
  <si>
    <t>Zásyp jam, rýh, šachet se zhutněním z jakékoliv horniny (tř. I - IV.) s uložením výkopku po vrtstvách, vhodná zemina ze staveniště k zásypům (posouzeno bude geologem), max. vel. kamene 100 mm.
Výpočet - výměra, rozměr:
0*0,26*1,05 =&gt; KSÚS: délka trasy / úseku [m] * prům. plocha zásypu [m2] + 5% rezerva (max. míra zhutnění)
1,70*0,69*1,05 =&gt; MOK: délka trasy / úseku [m] * prům. plocha zásypu [m2] + 5% rezerva (max. míra zhutnění)
2,80*1,17*1,05 =&gt; NEZPEVNĚNO/ŠTĚRK: délka trasy / úseku [m] * prům. plocha zásypu [m2] + 5% rezerva (max. míra zhutnění)
0*0,69*1,05 =&gt; CHODNÍKY: délka trasy / úseku [m] * prům. plocha zásypu [m2] + 5% rezerva (max. míra zhutnění)</t>
  </si>
  <si>
    <t>Zhutnění lože pod potrubím, vibrační deskou / válcem.
Výpočet - výměra, rozměr:
4,50*0,80*1,10 =&gt; celk. délka vod. odbočení [m] * šířka lože [m] + rezerva 10%</t>
  </si>
  <si>
    <t>Zhotovení podkladního lože pod odpadní potrubí z lom. prosívky f = 0 až 4 mm, včetně dodávky prosívky. D+M
viz. PODÉLNÉ PROFILY / ULOŽENÍ TRUB
Výpočet - výměra, rozměr:
4,50*0,80*0,15*1,1 =&gt; celk. délka trasy / úseku kan. odbočení [m] * šířka lože [m] * tl. vrstvy [m] + 10% rezerva
m3 prosívky = cca 2,34 T</t>
  </si>
  <si>
    <t>564871111RT4</t>
  </si>
  <si>
    <t>Podklad ze štěrkodrti po zhutnění tloušťky 25 cm - MOK</t>
  </si>
  <si>
    <t>Podklad ze štěrkodrti, f = 0 - 63 mm, po zhutnění tl. vrstvy 25 cm, včetně dodávky štěrkodrti. D+M
Výpočet - výměra, rozměr:
1,70*1,20*1,05 =&gt; délka úseku(ů) [m] * prům. šíře rýhy [m] + rezerva 5%</t>
  </si>
  <si>
    <t>Podkladní vrstva z kameniva drceného, f = 32 - 63 mm, s výplň.kamen., tl. vrstvy 20 cm, včetně dodávky kameniva. D+M
Výpočet - výměra, rozměr:
1,70*1,26*1,05 =&gt; délka úseku(ů) [m] * prům. šíře rýhy [m] + rezerva 5%</t>
  </si>
  <si>
    <t>Provizorní pojízdná vrstva ze štěrkodrti, f = 0 - 32 mm, tl. vrstvy 15 cm, včetně dodávky štěrkodrti. D+M
Výpočet - výměra, rozměr:
1,70*1,30 =&gt; délka úseku(ů) [m] * prům. šíře rýhy [m]</t>
  </si>
  <si>
    <t>722</t>
  </si>
  <si>
    <t>Vnitřní vodovod</t>
  </si>
  <si>
    <t>722190224R00.1</t>
  </si>
  <si>
    <t>Napojení na stávající přípojku vodovodní pro pevné připojení DN 50 (d 63 mm)</t>
  </si>
  <si>
    <t>722_</t>
  </si>
  <si>
    <t>72_</t>
  </si>
  <si>
    <t>Položka obsahuje přepojení vodovodního odbočení na stávající přípojku, včetně ověření profilu, montáže a dodávky spojovacích materiálů dané dimenze. D+M
Výpočet - výměra, rozměr:
1 =&gt; počet napojení na stáv. přípojku [soubor]</t>
  </si>
  <si>
    <t>831230110RA0.2</t>
  </si>
  <si>
    <t>Vodovodní přípojka z trub polyetylénových d 63 mm, hl. do 1,75 m</t>
  </si>
  <si>
    <t>Vodovodní přípojka z trub polyetylénových DN 50 (d 63 mm), položka obsahuje:
- náklady na dodávku a montáž PE / PE RC potrubí tlakových, 
- napojení na vodovodní řad (navrtávací pasy + domovní šoupátka jsou součástí vodovodních řadů), 
- dodávku a montáž elektrotvarovek (pro odbočení: 2x elektrospojka, 1x elektrokoleno 30°, 2x elektrokoleno 15°),
- napojení do domovní vodoměrné šachty (bez dodávky a montáže domovní vodoměrné šachty),
- tlakovou zkoušku potrubí, proplach a dezinfekci
- v případě potřeby - dodávku a montáž elektrovíčka 
Výpočet - výměra, rozměr:
4,50 =&gt; délka vodovodního/ch odbočení [m]</t>
  </si>
  <si>
    <t>Dodávka a uložení výstražné fólie, bílé (modré) barvy s nápisem "VODA" / "VODOVOD" / "POZOR VODA", cca 30 cm nad povrchem potrubí. D+M
Výpočet - výměra, rozměr:
4,50*1,10 =&gt; délka potrubí /úseku/ [m] + rezerva 10%</t>
  </si>
  <si>
    <t>899731114R00</t>
  </si>
  <si>
    <t>Vodič signalizační CYY 6 mm2</t>
  </si>
  <si>
    <t>Dodávka a montáž signalizačního vodiče s dvojitou izolací (CYY) o průřezu 6 mm2, připáskování k potrubí. D+M
Výpočet - výměra, rozměr:
4,50*1,15 =&gt; celková délka vod. odbočení [m] + rezerva 15%</t>
  </si>
  <si>
    <t>Výpočet - výměra, rozměr:
4,42*0,75 =&gt; celková hmotnost odebraných konstrukcí komunikací [t]  =&gt; z toho prům. 75%</t>
  </si>
  <si>
    <t>Přesun hmot, komunikace z kameniva, příplatek 1 km - odvoz na skládku dle výběru investora (Pístov, Jihlava, ul. Škroupova - Pístov = 5,0 km).
Výpočet - výměra, rozměr:
5*4,42*0,75 =&gt; počet km [-] * celk. odebraná hmotnost vrstev komunikace [t] =&gt; z toho 75%</t>
  </si>
  <si>
    <t>Přesun hmot, kryt živičný příplatek 1 km - odvoz na skládku dle výběru investora (Pístov, Jihlava, ul. Škroupova - Pístov = 5,0 km).
Výpočet - výměra, rozměr:
5*4,42*0,25 =&gt; počet [km] * celk. odebraná hmotnost vrstev komunikace [t] =&gt; z toho 25%</t>
  </si>
  <si>
    <t>DSO 301.I.2. VODOVODNÍ ODBOČENÍ č.p. 850/4</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</si>
  <si>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5,50*1,30*1,05 =&gt; celk. délka tras(y) / úsek(ů) kan. odbočení [m] * prům. šíře rýhy [m] + rezerva 5%</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</si>
  <si>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0*0,86*0,50*1,05 =&gt; KSÚS: délka trasy / úseku [m] * prům. plocha výkopu [m2] * 50% (III. tř. horniny) + 5% rezerva
5,50*1,11*0,50*1,05 =&gt; MOK: délka trasy / úseku [m] * prům. plocha výkopu [m2] * 50% (III. tř. horniny) + 5% rezerva
0*1,58*0,50*1,05 =&gt; NEZPEVNĚNO: délka trasy / úseku [m] * prům. plocha výkopu [m2] * 50% (III. tř. horniny) + 5% rezerva
0*1,11*0,50*1,05 =&gt; CHODNÍKY: délka trasy / úseku [m] * prům. plocha výkopu [m2] * 50% (III. tř. horniny) + 5% rezerva</t>
  </si>
  <si>
    <t>Příplatek za lepivost, 50% celkového objemu výkopu. Do měrných jednotek se udává poměrné množství zeminy, které ulpí v nářadí a o které je snížen celkový výkon stroje.
Výpočet - výměra, rozměr:
3,21 [m3] * 0,50 [%] =&gt; převzaté č. pol. 132201212R00 (Hloubení rýh š.do 200 cm hor.3 do 1 000 m3, 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</si>
  <si>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0*0,86*0,50*1,05 =&gt; KSÚS: délka trasy / úseku [m] * prům. plocha výkopu [m2] * 50% (IV. tř. horniny) + 5% rezerva
5,50*1,11*0,50*1,05 =&gt; MOK: délka trasy / úseku [m] * prům. plocha výkopu [m2] * 50% (IV. tř. horniny) + 5% rezerva
0*1,58*0,50*1,05 =&gt; NEZPEVNĚNO: délka trasy / úseku [m] * prům. plocha výkopu [m2] * 50% (IV. tř. horniny) + 5% rezerva
0*1,11*0,50*1,05 =&gt; CHODNÍKY: délka trasy / úseku [m] * prům. plocha výkopu [m2] * 50% (IV. tř. horniny) + 5% rezerva</t>
  </si>
  <si>
    <t>Příplatek za lepivost, 25% celkového objemu výkopu. Do měrných jednotek se udává poměrné množství zeminy, které ulpí v nářadí a o které je snížen celkový výkon stroje.
Výpočet - výměra, rozměr:
3,21 [m3] * 0,25 [%] =&gt; převzaté č. pol. 132301213R00 (Hloubení rýh v hor.4 do 10 000m3,STROJNĚ) * 25% z výkopku</t>
  </si>
  <si>
    <t>Pažení a rozepření stěny rýhy - příložné - hl. do 4 m. D+M
Výpočet - výměra, rozměr:
5,50*1,75*2*0,50 =&gt; celk. délka trasy / úseku kan. odbočení [m] * průměrná výška [m] * počet stěn [ks] - 50% z toho</t>
  </si>
  <si>
    <t>Odstranění pažení a rozepření stěny rýhy - příložné - hl. do 4 m. D+M
Výpočet - výměra, rozměr:
5,50*1,75*2*0,50 =&gt; délka trasy / úseku / stoky [m] * průměrná výška [m] * počet stěn [ks] - 50% z toho</t>
  </si>
  <si>
    <t>Svislé přemístění výkopku z hor.1-4 do 2,5 m bez naložení do dopravní nádoby, ale s vyprázdněním dopravní nádoby na hromadu nebo na dopravní prostředek.
- hloubení rýh objemu nad 100 m3 (stavba globálně): 50 %
viz. TABULKA TĚŽITELNOSTI HORNIN
Výpočet - výměra, rozměr:
(3,21+3,21)*0,50 =&gt; součet výkopů I. až IV. tř.  *  3 %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</si>
  <si>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(3,21+3,21) =&gt; celkový výkop hor. tř. I.-IV. [m3]
-3,98 =&gt; odečet kubatury potřebné k zásypu [m3]</t>
  </si>
  <si>
    <t>Naložení a složení výkopku tř. 1. až 4. z mezideponie pro zásyp rýhy.
Výpočet - výměra, rozměr:
2*3,98 =&gt; počet nakládání / skládání [-] * kubatura horniny tř. I. - IV. potřebná pro zásyp [m3]</t>
  </si>
  <si>
    <t>Položka obsahuje naložení, odvoz výkopku na mezideponii, složení výkopku a zpáteční cestu.
Výpočet - výměra, rozměr:
2*3,98 =&gt; 1x odvoz + 1x dovoz [-] * kubatura horniny tř. I. - IV. potřebná pro zásyp [m3]</t>
  </si>
  <si>
    <t>Obsyp hutnitelným nesoudržným materiálem = prosívkou (f = 0-4 mm pro PE/PP) , pro jakoukoliv hloubku výkopu a jakoukoliv míru zhutnění, včetně dodávky obsypového materiálu. D+M
Výpočet - výměra, rozměr:
0,30*5,50*1,05 =&gt; plocha obsypu [m2] * délka trasy / úseku kan. odbočení [m] + rezerva 5% na zhutnění
-(3,14*0,016^2*5,50) =&gt; odečet kubatury vytlačené potrubím [m3] - DN 25</t>
  </si>
  <si>
    <t>Příplatek za prohození sypaniny pro obsyp potrubí.
Výpočet - výměra, rozměr:
1,73 =&gt; kubatura obsypu [m] - převzato z předchozí položky</t>
  </si>
  <si>
    <t>Zásyp jam, rýh, šachet se zhutněním z jakékoliv horniny (tř. I - IV.) s uložením výkopku po vrtstvách, vhodná zemina ze staveniště k zásypům (posouzeno bude geologem), max. vel. kamene 100 mm.
Výpočet - výměra, rozměr:
0*0,26*1,05 =&gt; KSÚS: délka trasy / úseku [m] * prům. plocha zásypu [m2] + 5% rezerva (max. míra zhutnění)
5,50*0,69*1,05 =&gt; MOK: délka trasy / úseku [m] * prům. plocha zásypu [m2] + 5% rezerva (max. míra zhutnění)
0*1,17*1,05 =&gt; NEZPEVNĚNO: délka trasy / úseku [m] * prům. plocha zásypu [m2] + 5% rezerva (max. míra zhutnění)
0*0,69*1,05 =&gt; CHODNÍKY: délka trasy / úseku [m] * prům. plocha zásypu [m2] + 5% rezerva (max. míra zhutnění)</t>
  </si>
  <si>
    <t>Zhutnění lože pod potrubím, vibrační deskou / válcem.
Výpočet - výměra, rozměr:
5,50*0,80*1,10 =&gt; celk. délka kan. odbočení [m] * šířka lože [m] + rezerva 10%</t>
  </si>
  <si>
    <t>Zhotovení podkladního lože pod odpadní potrubí z lom. prosívky f = 0 až 4 mm, včetně dodávky prosívky. D+M
viz. PODÉLNÉ PROFILY / ULOŽENÍ TRUB
Výpočet - výměra, rozměr:
5,50*0,80*0,15*1,1 =&gt; celk. délka trasy / úseku kan. odbočení [m] * šířka lože [m] * tl. vrstvy [m] + 10% rezerva
m3 prosívky = cca 2,34 T</t>
  </si>
  <si>
    <t>Podklad ze štěrkodrti, f = 0 - 63 mm, po zhutnění tl. vrstvy 25 cm, včetně dodávky štěrkodrti. D+M
Výpočet - výměra, rozměr:
5,50*1,20*1,05 =&gt; délka úseku(ů) [m] * prům. šíře rýhy [m] + rezerva 5%</t>
  </si>
  <si>
    <t>Podkladní vrstva z kameniva drceného, f = 32 - 63 mm, s výplň.kamen., tl. vrstvy 20 cm, včetně dodávky kameniva. D+M
Výpočet - výměra, rozměr:
5,50*1,26*1,05 =&gt; délka úseku(ů) [m] * prům. šíře rýhy [m] + rezerva 5%</t>
  </si>
  <si>
    <t>Provizorní pojízdná vrstva ze štěrkodrti, f = 0 - 32 mm, tl. vrstvy 15 cm, včetně dodávky štěrkodrti. D+M
Výpočet - výměra, rozměr:
5,50*1,30 =&gt; délka úseku(ů) [m] * prům. šíře rýhy [m]</t>
  </si>
  <si>
    <t>Napojení na stávající přípojku vodovodní pro pevné připojení DN 25 (d 32 mm)</t>
  </si>
  <si>
    <t>831230110RAB.1</t>
  </si>
  <si>
    <t>Vodovodní přípojka z trub polyetylénových DN 25 (d 32 mm), hl. do 1,75 m</t>
  </si>
  <si>
    <t>Vodovodní přípojka z trub polyetylénových DN 25 (d 32 mm), položka obsahuje:
- náklady na dodávku a montáž PE / PE RC potrubí tlakových, 
- napojení na vodovodní řad (navrtávací pasy + domovní šoupátka jsou součástí vodovodních řadů), 
- dodávku a montáž elektrotvarovek (pro odbočení: 2x elektrospojka, 1x elektrokoleno 30°, 2x elektrokoleno 15°),
- napojení do domovní vodoměrné šachty (bez dodávky a montáže domovní vodoměrné šachty),
- tlakovou zkoušku potrubí, proplach a dezinfekci
- v případě potřeby - dodávku a montáž elektrovíčka 
Výpočet - výměra, rozměr:
5,50 =&gt; délka vodovodního/ch odbočení [m]</t>
  </si>
  <si>
    <t>Dodávka a uložení výstražné fólie, bílé (modré) barvy s nápisem "VODA" / "VODOVOD" / "POZOR VODA", cca 30 cm nad povrchem potrubí. D+M
Výpočet - výměra, rozměr:
5,50*1,10 =&gt; délka potrubí /úseku/ [m] + rezerva 10%</t>
  </si>
  <si>
    <t>Dodávka a montáž signalizačního vodiče s dvojitou izolací (CYY) o průřezu 6 mm2, připáskování k potrubí. D+M
Výpočet - výměra, rozměr:
5,50*1,15 =&gt; celková délka vod. odbočení [m] + rezerva 15%</t>
  </si>
  <si>
    <t>Výpočet - výměra, rozměr:
6,76*0,75 =&gt; celková hmotnost odebraných konstrukcí komunikací [t]  =&gt; z toho prům. 75%</t>
  </si>
  <si>
    <t>Přesun hmot, komunikace z kameniva, příplatek 1 km - odvoz na skládku dle výběru investora (Pístov, Jihlava, ul. Škroupova - Pístov = 5,0 km).
Výpočet - výměra, rozměr:
5*6,76*0,75 =&gt; počet km [-] * celk. odebraná hmotnost vrstev komunikace [t] =&gt; z toho 75%</t>
  </si>
  <si>
    <t>Přesun hmot, kryt živičný příplatek 1 km - odvoz na skládku dle výběru investora (Pístov, Jihlava, ul. Škroupova - Pístov = 5,0 km).
Výpočet - výměra, rozměr:
5*6,76*0,25 =&gt; počet [km] * celk. odebraná hmotnost vrstev komunikace [t] =&gt; z toho 25%</t>
  </si>
  <si>
    <t>DSO 301.I.3. VODOVODNÍ ODBOČENÍ č.p. 912/24</t>
  </si>
  <si>
    <t>Dočasné zajištění potrubí ve výkopu vzniklé křížením (příp. souběhy), např.: podepřením, tvárnicemi, zákrytovými deskami.
Výpočet - výměra, rozměr:
1*1,30*1,00 =&gt; počet křížení [ks] * prům. šířka rýhy [m] =&gt; z toho 100%</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</si>
  <si>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4,00*1,30*1,05 =&gt; celk. délka tras(y) / úsek(ů) kan. odbočení [m] * prům. šíře rýhy [m] + rezerva 5%</t>
  </si>
  <si>
    <t>Příplatek za ztížení vykopávky v blízkosti vedení (NN, optické vedení, metalové vedení, plynovod).
Výpočet - výměra, rozměr:
(1+1)*0,50*0,50 =&gt; počet křížení [ks] * pr. kubatura na křížení [m3] =&gt; 50% z toho</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</si>
  <si>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0*0,86*0,50*1,05 =&gt; KSÚS: délka trasy / úseku [m] * prům. plocha výkopu [m2] * 50% (III. tř. horniny) + 5% rezerva
4,00*1,11*0,50*1,05 =&gt; MOK: délka trasy / úseku [m] * prům. plocha výkopu [m2] * 50% (III. tř. horniny) + 5% rezerva
0*1,58*0,50*1,05 =&gt; NEZPEVNĚNO: délka trasy / úseku [m] * prům. plocha výkopu [m2] * 50% (III. tř. horniny) + 5% rezerva
1,50*1,11*0,50*1,05 =&gt; CHODNÍKY: délka trasy / úseku [m] * prům. plocha výkopu [m2] * 50% (III. tř. horniny) + 5% rezerva</t>
  </si>
  <si>
    <t>Příplatek za lepivost, 50% celkového objemu výkopu. Do měrných jednotek se udává poměrné množství zeminy, které ulpí v nářadí a o které je snížen celkový výkon stroje.
Výpočet - výměra, rozměr:
3,20 [m3] * 0,50 [%] =&gt; převzaté č. pol. 132201212R00 (Hloubení rýh š.do 200 cm hor.3 do 1 000m3, 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</si>
  <si>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0*0,86*0,50*1,05 =&gt; KSÚS: délka trasy / úseku [m] * prům. plocha výkopu [m2] * 50% (IV. tř. horniny) + 5% rezerva
4,00*1,11*0,50*1,05 =&gt; MOK: délka trasy / úseku [m] * prům. plocha výkopu [m2] * 50% (IV. tř. horniny) + 5% rezerva
0*1,58*0,50*1,05 =&gt; NEZPEVNĚNO: délka trasy / úseku [m] * prům. plocha výkopu [m2] * 50% (IV. tř. horniny) + 5% rezerva
1,50*1,11*0,50*1,05 =&gt; CHODNÍKY: délka trasy / úseku [m] * prům. plocha výkopu [m2] * 50% (IV. tř. horniny) + 5% rezerva</t>
  </si>
  <si>
    <t>Příplatek za lepivost, 25% celkového objemu výkopu. Do měrných jednotek se udává poměrné množství zeminy, které ulpí v nářadí a o které je snížen celkový výkon stroje.
Výpočet - výměra, rozměr:
3,20 [m3] * 0,25 [%] =&gt; převzaté č. pol. 132301213R00 (Hloubení rýh v hor.4 do 10 000m3,STROJNĚ) * 25% z výkopku</t>
  </si>
  <si>
    <t>Svislé přemístění výkopku z hor.1-4 do 2,5 m bez naložení do dopravní nádoby, ale s vyprázdněním dopravní nádoby na hromadu nebo na dopravní prostředek.
- hloubení rýh objemu nad 100 m3 (stavba globálně): 50 %
viz. TABULKA TĚŽITELNOSTI HORNIN
Výpočet - výměra, rozměr:
(3,20+3,20)*0,50 =&gt; součet výkopů I. až IV. tř.  *  3 %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</si>
  <si>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(3,20+3,20) =&gt; celkový výkop hor. tř. I.-IV. [m3]
-3,99 =&gt; odečet kubatury potřebné k zásypu [m3]</t>
  </si>
  <si>
    <t>Naložení a složení výkopku tř. 1. až 4. z mezideponie pro zásyp rýhy.
Výpočet - výměra, rozměr:
2*3,99 =&gt; počet nakládání / skládání [-] * kubatura horniny tř. I. - IV. potřebná pro zásyp [m3]</t>
  </si>
  <si>
    <t>Položka obsahuje naložení, odvoz výkopku na mezideponii, složení výkopku a zpáteční cestu.
Výpočet - výměra, rozměr:
2*3,99 =&gt; 1x odvoz + 1x dovoz [-] * kubatura horniny tř. I. - IV. potřebná pro zásyp [m3]</t>
  </si>
  <si>
    <t>Obsyp hutnitelným nesoudržným materiálem = prosívkou (f = 0-4 mm pro PP / PVC) , pro jakoukoliv hloubku výkopu a jakoukoliv míru zhutnění, včetně dodávky obsypového materiálu. D+M
Výpočet - výměra, rozměr:
0,30*5,50*1,05 =&gt; plocha obsypu [m2] * délka trasy / úseku kan. odbočení [m] + rezerva 5% na zhutnění
-(3,14*0,016^2*5,50) =&gt; odečet kubatury vytlačené potrubím [m3] - DN 25</t>
  </si>
  <si>
    <t>Příplatek za prohození sypaniny pro obsyp potrubí.
Výpočet - výměra, rozměr:
1,73 =&gt; kubatura obsypu [m3] - převzato z předchozí položky</t>
  </si>
  <si>
    <t>Zásyp jam, rýh, šachet se zhutněním z jakékoliv horniny (tř. I - IV.) s uložením výkopku po vrtstvách, vhodná zemina ze staveniště k zásypům (posouzeno bude geologem), max. vel. kamene 100 mm.
Výpočet - výměra, rozměr:
0*0,26*1,05 =&gt; KSÚS: délka trasy / úseku [m] * prům. plocha zásypu [m2] + 5% rezerva (max. míra zhutnění)
4,00*0,69*1,05 =&gt; MOK: délka trasy / úseku [m] * prům. plocha zásypu [m2] + 5% rezerva (max. míra zhutnění)
0*1,17*1,05 =&gt; NEZPEVNĚNO: délka trasy / úseku [m] * prům. plocha zásypu [m2] + 5% rezerva (max. míra zhutnění)
1,50*0,69*1,05 =&gt; CHODNÍKY: délka trasy / úseku [m] * prům. plocha zásypu [m2] + 5% rezerva (max. míra zhutnění)</t>
  </si>
  <si>
    <t>Podklad ze štěrkodrti, f = 0 - 63 mm, po zhutnění tl. vrstvy 25 cm, včetně dodávky štěrkodrti. D+M
Výpočet - výměra, rozměr:
4,00*1,20*1,05 =&gt; délka úseku(ů) [m] * prům. šíře rýhy [m] + rezerva 5%</t>
  </si>
  <si>
    <t>Podkladní vrstva z kameniva drceného, f = 32 - 63 mm, s výplň.kamen., tl. vrstvy 20 cm, včetně dodávky kameniva. D+M
Výpočet - výměra, rozměr:
4,00*1,26*1,05 =&gt; délka úseku(ů) [m] * prům. šíře rýhy [m] + rezerva 5%</t>
  </si>
  <si>
    <t>Provizorní pojízdná vrstva ze štěrkodrti, f = 0 - 32 mm, tl. vrstvy 15 cm, včetně dodávky štěrkodrti. D+M
Výpočet - výměra, rozměr:
4,00*1,30 =&gt; délka úseku(ů) [m] * prům. šíře rýhy [m]</t>
  </si>
  <si>
    <t>Kryty pozemních komunikací, letišť a ploch dlážděných (předlažby)</t>
  </si>
  <si>
    <t>591050020RAA</t>
  </si>
  <si>
    <t>Komunikace z dlažby zámkové, podklad štěrkopísek, dlažba přírodní tloušťka 8 cm - DLAŽBY, ZPEVNĚNÉ VSTUPY, VJEZDY</t>
  </si>
  <si>
    <t>59_</t>
  </si>
  <si>
    <t>Komunikace / chodník z dlažby zámkové, podklad štěrkopísek, dlažba přírodní tloušťka 8 cm, včetně zemních prací i nákladů na řezání. D+M
Skladba: 
- podklad ze štěrkopísku, tl. 17 cm 
- podklad z drceného kameniva, tl. 30 cm 
- lože z kameniva, tl. 5 cm 
- dlažba zámková, betonová, tl. 8 cm
Výpočet - výměra, rozměr:
1,50*1,30*1,05 =&gt; CHODNÍK: délka úseku(ů) [m] * pr. šířka [m] + rezerva 5%</t>
  </si>
  <si>
    <t>Přesun hmot, komunikace z kameniva, příplatek 1 km - odvoz na skládku dle výběru investora (Pístov, Jihlava, ul. Škroupova - Pístov = 5,0 km).
Výpočet - výměra, rozměr:
5*4,91*0,75 =&gt; počet km [-] * celk. odebraná hmotnost vrstev komunikace [t] =&gt; z toho 75%</t>
  </si>
  <si>
    <t>Přesun hmot, kryt živičný příplatek 1 km - odvoz na skládku dle výběru investora (Pístov, Jihlava, ul. Škroupova - Pístov = 5,0 km).
Výpočet - výměra, rozměr:
5*4,91*0,25 =&gt; počet [km] * celk. odebraná hmotnost vrstev komunikace [t] =&gt; z toho 25%</t>
  </si>
  <si>
    <t>998223011R00</t>
  </si>
  <si>
    <t>Přesun hmot, pozemní komunikace, kryt dlážděný (stavební přesuny)</t>
  </si>
  <si>
    <t>998223091R00</t>
  </si>
  <si>
    <t>Přesun hmot, komunikace dlážděné, příplatek 1 km</t>
  </si>
  <si>
    <t>Přesun hmot, komunikace z kameniva, příplatek 1 km - odvoz na skládku dle výběru investora (Pístov, Jihlava, ul. Škroupova - Pístov = 5,0 km).
Výpočet - výměra, rozměr:
5*2,66*0,50 =&gt; počet km [-] * celk. přesun hmot dlážděných povrchů [t] =&gt; z toho 50% (původní dlažděné povrchy budou kompletně nahrazeny, tzn. 1/2 z celk. hmotnosti  - odvoz na skládku)</t>
  </si>
  <si>
    <t>Dočasné zajištění kabelů ve výkopu vzniklé křížením, např.: podepřením, tvárnicemi, zákrytovými deskami.
Výpočet - výměra, rozměr:
3*1,30*1,00 =&gt; počet křížení [ks] * prům. šířka rýhy [m] =&gt; z toho 100%</t>
  </si>
  <si>
    <t>Odstranění stávajícího krytu přijezdné komunikace, včetně nakládání a odvozu na skládku do 1 km, započítaná i zpáteční cesta. 
Položka obsahuje: (konstrukce místní obslužné komunikace - MOK)
- řezání živičného krytu tl. 4-5 cm, 
- odstranění asfaltbetonového krytu tl. 4-5 cm 
- řezání podkladního asfaltobetonu tl. do 5 cm 
- odstranění podkladního asfaltobetonu tl. do 5 cm 
- odstranění kameniva zpevněného cementem tl. 15 cm 
- odstranění štěrkodrti tl. 30 cm 
- nakládání suti 
- vodorovná doprava suti do 1 km (položka neobsahuje poplatek za skládku)
Výpočet - výměra, rozměr:
4,10*1,30*1,05 =&gt; celk. délka tras(y) / úsek(ů) kan. odbočení [m] * prům. šíře rýhy [m] + rezerva 5%</t>
  </si>
  <si>
    <t>Odstranění podkladu do 50 m2,kam.těžené tl. 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4,10*1,30 =&gt; (MOK): délka úseku [m] * prům. šíře rýhy [m]</t>
  </si>
  <si>
    <t>Sejmutí ornice s přemístěním do 50 m, uložením na dočasnou skládku / mezideponii.
Výpočet - výměra, rozměr:
1,90*1,53*0,20*1,05 =&gt; celk. délka tras(y) / úsek(ů) odbočení [m] * prům. šíře [m] * tl. vrstvy [m] + rezerva 5%</t>
  </si>
  <si>
    <t>Příplatek za ztížení vykopávky v blízkosti vedení (NN, optické vedení, metalové vedení, plynovod).
Výpočet - výměra, rozměr:
(3)*0,50*0,50 =&gt; počet křížení [ks] * pr. kubatura na křížení [m3] =&gt; 50% z toho</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</si>
  <si>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0*0,86*0,50*1,05 =&gt; KSÚS: délka trasy / úseku [m] * prům. plocha výkopu [m2] * 50% (III. tř. horniny) + 5% rezerva
4,10*1,11*0,50*1,05 =&gt; MOK: délka trasy / úseku [m] * prům. plocha výkopu [m2] * 50% (III. tř. horniny) + 5% rezerva
1,90*1,58*0,50*1,05 =&gt; NEZPEVNĚNO: délka trasy / úseku [m] * prům. plocha výkopu [m2] * 50% (III. tř. horniny) + 5% rezerva
0*1,11*0,50*1,05 =&gt; CHODNÍKY: délka trasy / úseku [m] * prům. plocha výkopu [m2] * 50% (III. tř. horniny) + 5% rezerva</t>
  </si>
  <si>
    <t>Příplatek za lepivost, 50% celkového objemu výkopu. Do měrných jednotek se udává poměrné množství zeminy, které ulpí v nářadí a o které je snížen celkový výkon stroje.
Výpočet - výměra, rozměr:
3,97 [m3] * 0,50 [%] =&gt; převzaté č. pol. 132201212R00 (Hloubení rýh š.do 200 cm hor.3 do 1 000m3, STROJNĚ) * 50% z výkopku</t>
  </si>
  <si>
    <t>Položka obsahuje hloubení rýh traktorbagrem, naložení výkopku na dopravní prostředek pro svislé, nebo vodorovné přemístění, popř. přemístění výkopku do 3 m (po povrchu území), případné zajištění rypadel polštáři, udržování pracoviště a ochranu výkopiště proti stékání srážkové vody z okolního terénu i s jejím odvodněním, nebo odvedením, přesekání a odstranění kořenů ve výkopišti, odstranění napadávek, urovnání dna výkopu.
viz. TABULKA TĚŽITELNOSTI HORNIN
Výpočet - výměra, rozměr:
0*0,86*0,50*1,05 =&gt; KSÚS: délka trasy / úseku [m] * prům. plocha výkopu [m2] * 50% (IV. tř. horniny) + 5% rezerva
4,10*1,11*0,50*1,05 =&gt; MOK: délka trasy / úseku [m] * prům. plocha výkopu [m2] * 50% (IV. tř. horniny) + 5% rezerva
1,90*1,58*0,50*1,05 =&gt; NEZPEVNĚNO: délka trasy / úseku [m] * prům. plocha výkopu [m2] * 50% (IV. tř. horniny) + 5% rezerva
0*1,11*0,50*1,05 =&gt; CHODNÍKY: délka trasy / úseku [m] * prům. plocha výkopu [m2] * 50% (IV. tř. horniny) + 5% rezerva</t>
  </si>
  <si>
    <t>Příplatek za lepivost, 25% celkového objemu výkopu. Do měrných jednotek se udává poměrné množství zeminy, které ulpí v nářadí a o které je snížen celkový výkon stroje.
Výpočet - výměra, rozměr:
3,97 [m3] * 0,25 [%] =&gt; převzaté č. pol. 132301213R00 (Hloubení rýh v hor.4 do 10 000m3,STROJNĚ) * 25% z výkopku</t>
  </si>
  <si>
    <t>Pažení a rozepření stěny rýhy - příložné - hl. do 4 m. D+M
Výpočet - výměra, rozměr:
6,00*1,75*2*0,50 =&gt; celk. délka trasy / úseku kan. odbočení [m] * průměrná výška [m] * počet stěn [ks] - 50% z toho</t>
  </si>
  <si>
    <t>Odstranění pažení a rozepření stěny rýhy - příložné - hl. do 4 m. D+M
Výpočet - výměra, rozměr:
95,0*1,75*2*0,25 =&gt; délka trasy / úseku / stoky [m] * průměrná výška [m] * počet stěn [ks] - 25% z toho</t>
  </si>
  <si>
    <t>Svislé přemístění výkopku z hor.1-4 do 2,5 m bez naložení do dopravní nádoby, ale s vyprázdněním dopravní nádoby na hromadu nebo na dopravní prostředek.
- hloubení rýh objemu nad 100 m3 (stavba globálně): 50 %
viz. TABULKA TĚŽITELNOSTI HORNIN
Výpočet - výměra, rozměr:
(3,97+3,97)*0,50 =&gt; součet výkopů I. až IV. tř.  *  50 % (stanoveno z tabulky pro určení podílu svislého přemístění)</t>
  </si>
  <si>
    <t>Po suchu, bez naložení výkopku, avšak se složením bez rozhrnutí, zpáteční cesta vozidla.
Část výkopku hornin tř. I-IV. může být použit na dorovnání nezpevněných ploch, zbylé množství bude odveženo na skládku (Skládka Henčov - SMJ s.r.o., Jihlava, ul. Škroupova - Skládka Henčov = 7,0 km).
Výpočet - výměra, rozměr:
(3,97+3,97) =&gt; celkový výkop hor. tř. I.-IV. [m3]
-5,30 =&gt; odečet kubatury potřebné k zásypu [m3]</t>
  </si>
  <si>
    <t>Naložení a složení výkopku tř. 1. až 4. z mezideponie pro zásyp rýhy.
Výpočet - výměra, rozměr:
2*5,30 =&gt; počet nakládání / skládání [-] * kubatura horniny tř. I. - IV. potřebná pro zásyp [m3]</t>
  </si>
  <si>
    <t>Položka obsahuje naložení, odvoz výkopku na mezideponii, složení výkopku a zpáteční cestu.
Výpočet - výměra, rozměr:
2*5,30 =&gt; 1x odvoz + 1x dovoz [-] * kubatura horniny tř. I. - IV. potřebná pro zásyp [m3]</t>
  </si>
  <si>
    <t>Nakládání, skládání, překládání ornice v množství do 100 m3 na / (z) mezideponii(e).
Výpočet - výměra, rozměr:
2*0,61 =&gt; počet nakládání / skládání [-] * kubatura ornice [m3]</t>
  </si>
  <si>
    <t>Vodorovné přemístění ornice - odvoz / dovoz - mezideponie.
Výpočet - výměra, rozměr:
2*0,61 =&gt; počet přesunů 1x odvoz, 1x dovoz [-] * kubatura ornice [m3]</t>
  </si>
  <si>
    <t>Obsyp hutnitelným nesoudržným materiálem = prosívkou (f = 0-4 mm pro PE / PP) , pro jakoukoliv hloubku výkopu a jakoukoliv míru zhutnění, včetně dodávky obsypového materiálu. D+M
Výpočet - výměra, rozměr:
0,30*6,0*1,05 =&gt; plocha obsypu [m2] * délka trasy / úseku kan. odbočení [m] + rezerva 5% na zhutnění
-(3,14*0,016^2*6,0) =&gt; odečet kubatury vytlačené potrubím [m3] - DN 25</t>
  </si>
  <si>
    <t>Příplatek za prohození sypaniny pro obsyp potrubí.
Výpočet - výměra, rozměr:
1,89 =&gt; kubatura obsypu [m] - převzato z předchozí položky</t>
  </si>
  <si>
    <t>Zásyp jam, rýh, šachet se zhutněním z jakékoliv horniny (tř. I - IV.) s uložením výkopku po vrtstvách, vhodná zemina ze staveniště k zásypům (posouzeno bude geologem), max. vel. kamene 100 mm.
Výpočet - výměra, rozměr:
0*0,26*1,05 =&gt; KSÚS: délka trasy / úseku [m] * prům. plocha zásypu [m2] + 5% rezerva (max. míra zhutnění)
4,10*0,69*1,05 =&gt; MOK: délka trasy / úseku [m] * prům. plocha zásypu [m2] + 5% rezerva (max. míra zhutnění)
1,90*1,17*1,05 =&gt; NEZPEVNĚNO: délka trasy / úseku [m] * prům. plocha zásypu [m2] + 5% rezerva (max. míra zhutnění)
0*0,69*1,05 =&gt; CHODNÍKY: délka trasy / úseku [m] * prům. plocha zásypu [m2] + 5% rezerva (max. míra zhutnění)</t>
  </si>
  <si>
    <t>Rozprostření sejmuté ornice v rovině nebo ve svahu  do 1 : 5 s urovnáním, vyhrabáním větších kamenů, dovoz ornice ze vzdálenosti 500 m.
Výpočet - výměra, rozměr:
1,90*1,30*1,05 =&gt; délka tras(y) / úsek(ů) [m] * prům. šíře [m] + rezerva 5%</t>
  </si>
  <si>
    <t>Zhutnění lože pod potrubím, vibrační deskou / válcem.
Výpočet - výměra, rozměr:
6,00*0,80*1,10 =&gt; celk. délka kan. odbočení [m] * šířka lože [m] + rezerva 10%</t>
  </si>
  <si>
    <t>Zhotovení podkladního lože pod odpadní potrubí z lom. prosívky f = 0 až 4 mm, včetně dodávky prosívky. D+M
viz. PODÉLNÉ PROFILY / ULOŽENÍ TRUB
Výpočet - výměra, rozměr:
6,00*0,80*0,15*1,1 =&gt; celk. délka trasy / úseku kan. odbočení [m] * šířka lože [m] * tl. vrstvy [m] + 10% rezerva
m3 prosívky = cca 2,34 T</t>
  </si>
  <si>
    <t>Podklad ze štěrkodrti, f = 0 - 63 mm, po zhutnění tl. vrstvy 20 cm, včetně dodávky štěrkodrti. D+M
Výpočet - výměra, rozměr:
4,10*1,20*1,05 =&gt; délka úseku(ů) [m] * prům. šíře rýhy [m] + rezerva 5%</t>
  </si>
  <si>
    <t>Podkladní vrstva z kameniva drceného, f = 32 - 63 mm, s výplň.kamen., tl. vrstvy 20 cm, včetně dodávky kameniva. D+M
Výpočet - výměra, rozměr:
4,10*1,26*1,05 =&gt; délka úseku(ů) [m] * prům. šíře rýhy [m] + rezerva 5%</t>
  </si>
  <si>
    <t>Provizorní pojízdná vrstva ze štěrkodrti, f = 0 - 32 mm, tl. vrstvy 15 cm, včetně dodávky štěrkodrti. D+M
Výpočet - výměra, rozměr:
4,10*1,30 =&gt; délka úseku(ů) [m] * prům. šíře rýhy [m]</t>
  </si>
  <si>
    <t>Vodovodní přípojka z trub polyetylénových DN 25 (d 32 mm), položka obsahuje:
- náklady na dodávku a montáž PE / PE RC potrubí tlakových, 
- napojení na vodovodní řad (navrtávací pasy + domovní šoupátka jsou součástí vodovodních řadů), 
- dodávku a montáž elektrotvarovek (pro odbočení: 2x elektrospojka, 1x elektrokoleno 30°, 2x elektrokoleno 15°),
- napojení do domovní vodoměrné šachty (bez dodávky a montáže domovní vodoměrné šachty),
- tlakovou zkoušku potrubí, proplach a dezinfekci
- v případě potřeby - dodávku a montáž elektrovíčka 
Výpočet - výměra, rozměr:
6,0 =&gt; délka vodovodního/ch odbočení [m]</t>
  </si>
  <si>
    <t>Dodávka a uložení výstražné fólie, bílé (modré) barvy s nápisem "VODA" / "VODOVOD" / "POZOR VODA", cca 30 cm nad povrchem potrubí. D+M
Výpočet - výměra, rozměr:
6,00*1,10 =&gt; délka potrubí /úseku/ [m] + rezerva 10%</t>
  </si>
  <si>
    <t>Dodávka a montáž signalizačního vodiče s dvojitou izolací (CYY) o průřezu 6 mm2, připáskování k potrubí. D+M
Výpočet - výměra, rozměr:
6,00*1,15 =&gt; celková délka vod. odbočení [m] + rezerva 15%</t>
  </si>
  <si>
    <t>Výpočet - výměra, rozměr:
5,04*0,75 =&gt; celková hmotnost odebraných konstrukcí komunikací [t]  =&gt; z toho prům. 75%</t>
  </si>
  <si>
    <t>Přesun hmot, komunikace z kameniva, příplatek 1 km - odvoz na skládku dle výběru investora (Pístov, Jihlava, ul. Škroupova - Pístov = 5,0 km).
Výpočet - výměra, rozměr:
5*5,04*0,75 =&gt; počet km [-] * celk. odebraná hmotnost vrstev komunikace [t] =&gt; z toho 75%</t>
  </si>
  <si>
    <t>Přesun hmot, kryt živičný příplatek 1 km - odvoz na skládku dle výběru investora (Pístov, Jihlava, ul. Škroupova - Pístov = 5,0 km).
Výpočet - výměra, rozměr:
5*5,04*0,25 =&gt; počet [km] * celk. odebraná hmotnost vrstev komunikace [t] =&gt; z toho 25%</t>
  </si>
  <si>
    <t>Odstranění podkladu do 50 m2,kam.těžené tl. 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4,00*1,30 =&gt; (MOK): délka úseku [m] * prům. šíře rýhy [m]</t>
  </si>
  <si>
    <t>Výpočet - výměra, rozměr:
4,91*0,75 =&gt; celková hmotnost odebraných konstrukcí komunikací [t]  =&gt; z toho prům. 75%
6,65 =&gt; celková hmotnost odebraných komunikací dlážděných[t]</t>
  </si>
  <si>
    <t>Odstranění podkladu do 50 m2,kam.těžené tl. 15 cm - odstranění provizorní vrstvy.
Položka je určena i pro odstranění podkladů nebo krytů ze štěrkopísku, škváry, strusky nebo z mechanicky zpevněných zemin. Pro volbu položky z hlediska množství se uvažuje každá souvisle odstraňovaná plocha krytu nebo podkladu stejného druhu samostatně.
Výpočet - výměra, rozměr:
5,50*1,30 =&gt; (MOK): délka úseku [m] * prům. šíře rýhy [m]</t>
  </si>
  <si>
    <t>SO 303</t>
  </si>
  <si>
    <t>4.</t>
  </si>
  <si>
    <t>OPRAVA KOMUNIKACÍ KSÚSV</t>
  </si>
  <si>
    <t>Objednatel:</t>
  </si>
  <si>
    <t>SO 303 OPRAVA KOMUNIKACÍ KSÚSV</t>
  </si>
  <si>
    <t>Projektant:</t>
  </si>
  <si>
    <t>Zhotovitel:</t>
  </si>
  <si>
    <t>822232</t>
  </si>
  <si>
    <t>Zpracoval:</t>
  </si>
  <si>
    <t>113107222RAE</t>
  </si>
  <si>
    <t>Odstranění asfaltobetonové vozovky pl. nad 50 m2</t>
  </si>
  <si>
    <t>Odstranění asfaltobetonové vozovky pl. nad 50 m2.
Položka obsahuje: 
- řezání živičného krytu tl. 4 cm 
- odstranění asfaltbetonového krytu tl. 4 cm 
- řezání podkladního asfaltobetonu tl. 7 cm 
- odstranění podkladního asfaltobetonu tl. 7 cm
- nakládání suti 
- vodorovná doprava suti do 10 km
Výpočet - výměra, rozměr:
75,0 =&gt; KOM. KSÚSV II/532 - oprava vrchních vrstev dle stanoviska KSÚSV
7,49 =&gt; KOM. KSÚSV II/405 - oprava vrchních vrstev dle stanoviska KSÚSV</t>
  </si>
  <si>
    <t>577000021RA0.1</t>
  </si>
  <si>
    <t>Komunikace s asfaltobeton. krytem - D1, tř. dopr. zatíž. III - podkladní vrstvy + vrchní vrstvy</t>
  </si>
  <si>
    <t>Skladba dle publikace vydané Ministerstvem dopravy České republiky pod č. TP 146  "PROVÁDĚNÍ VÝKOPŮ A JEJICH ZÁSYPŮ VE STÁVAJÍCÍCH POZEMNÍCH KOMUNIKACÍCH". D+M 
- ACO 11+ =&gt; 40 mm 
- ACL 16+ =&gt; 70 mm 
- ACP 22+ =&gt; 90 mm 
- ŠDA =&gt;  300 mm 
Celkem = 490 mm
Výpočet - výměra, rozměr:
3*1,8*1,8*1,05 =&gt; KOM. KSÚSV II/532 - oprava včetně podkladních vrstev [m2]</t>
  </si>
  <si>
    <t>577000021RA0.2</t>
  </si>
  <si>
    <t>Komunikace s asfaltobeton. krytem - D1, tř. dopr. zatíž. III - vrchní vrstvy</t>
  </si>
  <si>
    <t>Skladba dle publikace vydané Ministerstvem dopravy České republiky pod č. TP 146  "PROVÁDĚNÍ VÝKOPŮ A JEJICH ZÁSYPŮ VE STÁVAJÍCÍCH POZEMNÍCH KOMUNIKACÍCH". D+M 
- ACO 11+ =&gt; 40 mm 
- ACL 16+ =&gt; 70 mm 
- ACP 22+ =&gt; 90 mm 
Celkem = 200 mm
Výpočet - výměra, rozměr:
75,0 =&gt; KOM. KSÚSV II/532 - oprava vrchních vrstev dle stanoviska KSÚSV [m2]
7,49 =&gt; KOM. KSÚSV II/405 - oprava vrchních vrstev dle stanoviska KSÚSV [m2]</t>
  </si>
  <si>
    <t>Přesun hmot, kryt živičný (1 km) - odvoz na skládku dle výběru investora (Pístov, Jihlava, ul. Škroupova - Pístov = 5,0 km).
Výpočet - výměra, rozměr:
5*74,28 =&gt; počet km [-] * celk. odebraná hmotnost vrstev komunikace [t]</t>
  </si>
  <si>
    <t>Ing. Vladimír Klička, Boršov 57, 588 05 Dušejov</t>
  </si>
  <si>
    <t>Ing. Vladimír Klička, Boršov 57, 588 05 Dušejov
Bc. Marek Petschenka, Věžnice 25, 588 27 Jamné u Jihlavy</t>
  </si>
  <si>
    <t>MĚSTO JIHLAVA, REKONSTRUKCE ULICE ŠKROUPOVA, 
SO 301 VODOVOD, SO 302 KANALIZACE</t>
  </si>
  <si>
    <t>-</t>
  </si>
  <si>
    <t>DSO 302.I.3. KANALIZAČNÍ ODBOČENÍ č.p. 912/24</t>
  </si>
  <si>
    <t>MĚSTO JIHLAVA, REKONSTRUKCE ULICE ŠKROUPOVA 
SO 301 VODOVOD, SO 302 KANALIZACE</t>
  </si>
  <si>
    <t>DSO 301.I.4. VODOVODNÍ ODBOČENÍ č.p. 4804/6</t>
  </si>
  <si>
    <t>MĚSTO JIHLAVA, REKONSTRUKCE ULICE ŠKROUPOVA,
SO 301 VODOVOD, SO 302 KANALIZACE</t>
  </si>
  <si>
    <t>Do takto obarvených buněk vyplňuje uchazeč nabídkovou cenu 
pro příslušný SO, DSO, PS, DPS.
V listu Rekapitulace probíhá doplňování a součet automaticky.</t>
  </si>
  <si>
    <t xml:space="preserve"> Stavební rozpočet / Soupis stavebních prací, dodávek a služeb - oceněný výkaz výměr</t>
  </si>
  <si>
    <t>MĚSTO JIHLAVA, REKONSTRUKCE ul. ŠKROUPOVA, 
SO 301 VODOVOD, SO 302 KANALIZACE</t>
  </si>
  <si>
    <t>2024-2025</t>
  </si>
  <si>
    <t xml:space="preserve">Statutární město Jihlava, Masarykovo náměstí 1, 586 01 Jihlava
odbor technických služeb </t>
  </si>
  <si>
    <t>SO 001 -  Vedlejší rozpočtové náklady /VRN/ = Práce přípravné, koordinační a přidružené</t>
  </si>
  <si>
    <t>Ing.Vladimír Klička, Boršov 57, 585 05</t>
  </si>
  <si>
    <t>k.ú. Jihlava, Jihlava, ul. ŠKROUPOVA</t>
  </si>
  <si>
    <t>Vzejde z výběrového řízení</t>
  </si>
  <si>
    <t>05/2024</t>
  </si>
  <si>
    <r>
      <t>•</t>
    </r>
    <r>
      <rPr>
        <i/>
        <sz val="10"/>
        <color indexed="30"/>
        <rFont val="Arial"/>
        <family val="2"/>
        <charset val="238"/>
      </rPr>
      <t xml:space="preserve">  Předmětná projektová dokumentace doplňuje a navazuje na dokumentaci „Rekonstrukce ulice Škroupova“. Ke stavbě je vydáno stavební povolení  "MMJ/OD/52920/2024-NoJ, Novák Jiří, 5.3.2024.
    Jedná se o výstavbu nového bezbariérového chodníku podél stávající asfaltové komunikace v ulici Škroupova, u které budou provedeny nové konstrukční vrstvy. Součástí stavby je také výstavba kontejnerového stání pro 3 kontejnery 1 100 l na tříděný odpad. 
    Dále je součástí stavby vybudování nového vodovodu – propojení ulic Znojemská a Brtnická, včetně přípojek k nemovitostem.
    Odvodnění komunikace bude řešeno jednostranným sklonem k severní straně ulice a bude odvodněna novými uličními vpusťmi (vybudování dvou nových vpustí a zrušení jedné nevyhovující vpusti u ulice Brtnická).
    ODDÍL STAVBY VaK byl ze strany MMJ/OTS přehodnocen.
    V rámci stavby bude vybudován veřejný vodovod, včetně vodovodních odbočení (řešení je rozsahem prací totožné, jak bylo zpracováno v dokumentaci "Rekonstrukce ulice Škroupova", pod stavebním objektem "SO 301 VODOVOD").
    Změna nastala u objektu "SO 302 Odvodnění komunikace", který řešil v rámci výše uvedené dokumentace pouze odvodnění komunikace. Nově je navržen "SO 302 Kanalizace",  předmětem je stoka kanalizace v jednotném systému, tedy pro odvodnění dešťových vod
    z komunikace i spaškových vod od přilehlých nemovitostí, včetně kanalizačních odbočení. 
    Umístění sítí VaK v ulici bylo uspořádáno nově.</t>
    </r>
  </si>
  <si>
    <r>
      <t>•</t>
    </r>
    <r>
      <rPr>
        <i/>
        <sz val="10"/>
        <color indexed="30"/>
        <rFont val="Arial"/>
        <family val="2"/>
        <charset val="238"/>
      </rPr>
      <t xml:space="preserve">  Pro nacenění předloženého soupisu stavebních prací, dodávek a služeb se předpokládá :
    Zadavatel stavby předepsal uchazeči o dodávku stavby prohlídku staveniště pro obeznámenost se staveništěm a s požadovaným konečným řešením.
    Uchazeč prohlídku absolvoval, je srozumen se specifiky staveniště a přístupu ke staveništi.
    Uchazeč měl k dispozici projektovou dokumentaci a výkaz výměr ke stavbě jako vstupní podklad pro zpracování cenové nabídky.</t>
    </r>
  </si>
  <si>
    <r>
      <t>•</t>
    </r>
    <r>
      <rPr>
        <i/>
        <sz val="10"/>
        <color indexed="30"/>
        <rFont val="Arial"/>
        <family val="2"/>
        <charset val="238"/>
      </rPr>
      <t xml:space="preserve">  Tento soupis stavebních prací, dodávek a služeb je sestaven jako podklad pro zpracování nabídek uchazečů o veřejnou zakázku na stavební práce a obsahuje podmínky a požadavky zadavatele, za kterých má být zpracována nabídková cena uchazečů o dodávku.
    Účelem tohoto soupisu je zabezpečit obsahovou shodu všech nabídkových cen a usnadnit zadavateli následné posouzení předložených cenových nabídek jednotlivými uchazeči.
    Předmetěm SO 001 VRN /Vedlejší rozpočtové náklady/ je specifikace ekonomicky nutných nákladů zhotovitele spojených s pracemi, úkony, činnostmi a subdodávkami, které souvisí s plněním smluvního vztahu zhotovitele vůči zadavateli,
    příp. vyplývajících ze zadávací dokumentace.</t>
    </r>
  </si>
  <si>
    <r>
      <rPr>
        <sz val="10"/>
        <color indexed="30"/>
        <rFont val="Calibri"/>
        <family val="2"/>
        <charset val="238"/>
      </rPr>
      <t xml:space="preserve">• </t>
    </r>
    <r>
      <rPr>
        <i/>
        <sz val="10"/>
        <color indexed="30"/>
        <rFont val="Arial"/>
        <family val="2"/>
        <charset val="238"/>
      </rPr>
      <t xml:space="preserve"> Projektová dokumentace vyjadřuje koncový stav řádně provedeného díla v jeho požadované kvalitě, užitné hodnotě, realizované zabudováním předepsaných materiálů v termínech stanovených investorem / zadavatelem stavby.
    Právem uchazeče o dodávku stavby / zhotovitele stavby, je organizovat a koordinovat práce, úkony a činnosti se stavbou související a vésti stavbu způsobem takovým, aby pro dosažení koncového stavu díla minimalizoval svoje náklady na výstavbu.
    Právo uchazeče o dodávku stavby / zhotovitele stavby, výše uvedené, nezakládá uchazeči / zhotoviteli právo svévolně měnit navržené materiály, konstrukce, technologické postupy, apod., resp. vypouštět materiály či práce, úkony, činnosti
    a postupy předepsané dokumentací, výrobci materiálů, a to ve výčtu pro jejich dopravu, skládání, dočasného uskladnění a zabudování do stavby, vztahující se technické předpisy (ČSN, ČSN-EN, TNV, apod.) a legislativní předpisy (zákony, vyhlášky, nařízení), 
    resp. předpisy investora či zadavatele, tedy organizovat a vésti stavební činnost způsobem takovým, která může mít za následek sníženou kvalitu díla, bezpečnost a hospodárnost provozu, resp. vésti k porušení předpisů souvisejících se zajištěním bezpečnosti práce
    pracovníků stavby, osob provozovatele, či osob se stavbou a budoucím provozem díla nesouvisejících, bezpečnosti staveniště, bezpečnosti dočasných konstrukcí či bezpečnosti staveništní či mimostaveništní dopravy.</t>
    </r>
  </si>
  <si>
    <r>
      <rPr>
        <sz val="10"/>
        <color indexed="30"/>
        <rFont val="Calibri"/>
        <family val="2"/>
        <charset val="238"/>
      </rPr>
      <t>•</t>
    </r>
    <r>
      <rPr>
        <i/>
        <sz val="11.5"/>
        <color indexed="30"/>
        <rFont val="Arial"/>
        <family val="2"/>
        <charset val="238"/>
      </rPr>
      <t xml:space="preserve"> </t>
    </r>
    <r>
      <rPr>
        <i/>
        <sz val="10"/>
        <color indexed="30"/>
        <rFont val="Arial"/>
        <family val="2"/>
        <charset val="238"/>
      </rPr>
      <t xml:space="preserve">Oddíl VRN /vedlejší rozpočtové náklady/ zahrnuje výčet prací souvisejících s přípravou stavby a koordinací stavebních a nestavebních činností a kompletací stavby před předáním investorovi /příp. zadaveteli či uživateli/ do užívání.
</t>
    </r>
    <r>
      <rPr>
        <i/>
        <sz val="10"/>
        <color indexed="30"/>
        <rFont val="Calibri"/>
        <family val="2"/>
        <charset val="238"/>
      </rPr>
      <t>•</t>
    </r>
    <r>
      <rPr>
        <i/>
        <sz val="10"/>
        <color indexed="30"/>
        <rFont val="Arial"/>
        <family val="2"/>
        <charset val="238"/>
      </rPr>
      <t xml:space="preserve"> Jedná se o výkon či zajištění výkonu přidružených činností ke stavbě požadovaných investorem či zadavatelem po zhotoviteli díla, resp. vyplývající ze vztahující se legislativy.
</t>
    </r>
    <r>
      <rPr>
        <i/>
        <sz val="10"/>
        <color indexed="30"/>
        <rFont val="Calibri"/>
        <family val="2"/>
        <charset val="238"/>
      </rPr>
      <t>•</t>
    </r>
    <r>
      <rPr>
        <i/>
        <sz val="10"/>
        <color indexed="30"/>
        <rFont val="Arial"/>
        <family val="2"/>
        <charset val="238"/>
      </rPr>
      <t xml:space="preserve"> V převážné většině se jedná o práce dříve ceněné procentuální částkou z ceny díla /GZS/.</t>
    </r>
  </si>
  <si>
    <r>
      <rPr>
        <sz val="10"/>
        <color indexed="30"/>
        <rFont val="Calibri"/>
        <family val="2"/>
        <charset val="238"/>
      </rPr>
      <t>•</t>
    </r>
    <r>
      <rPr>
        <i/>
        <sz val="11.5"/>
        <color indexed="30"/>
        <rFont val="Arial"/>
        <family val="2"/>
        <charset val="238"/>
      </rPr>
      <t xml:space="preserve"> </t>
    </r>
    <r>
      <rPr>
        <i/>
        <sz val="10"/>
        <color indexed="30"/>
        <rFont val="Arial"/>
        <family val="2"/>
        <charset val="238"/>
      </rPr>
      <t xml:space="preserve">Právem investora či jím pověřeného zadavatele je, po projednání s projektantem, před zahájením výběrového řízení na zhotovitele vnést do rozpočtu/výkazu výměr položku/y/ </t>
    </r>
    <r>
      <rPr>
        <b/>
        <i/>
        <sz val="10"/>
        <color indexed="30"/>
        <rFont val="Arial"/>
        <family val="2"/>
        <charset val="238"/>
      </rPr>
      <t xml:space="preserve">nové, </t>
    </r>
    <r>
      <rPr>
        <i/>
        <sz val="10"/>
        <color indexed="30"/>
        <rFont val="Arial"/>
        <family val="2"/>
        <charset val="238"/>
      </rPr>
      <t>a</t>
    </r>
    <r>
      <rPr>
        <i/>
        <sz val="10"/>
        <color indexed="30"/>
        <rFont val="Arial"/>
        <family val="2"/>
        <charset val="238"/>
      </rPr>
      <t xml:space="preserve"> to v důsledku okolností vyžadujících dodatečný požadavek na zhotovitele,
    na výkon prací stavebního i nestavebního charakteru, resp. jiných činností či úkonů požadovaných po zhotoviteli. </t>
    </r>
  </si>
  <si>
    <r>
      <rPr>
        <sz val="10"/>
        <color indexed="30"/>
        <rFont val="Calibri"/>
        <family val="2"/>
        <charset val="238"/>
      </rPr>
      <t>•</t>
    </r>
    <r>
      <rPr>
        <i/>
        <sz val="11.5"/>
        <color indexed="30"/>
        <rFont val="Arial"/>
        <family val="2"/>
        <charset val="238"/>
      </rPr>
      <t xml:space="preserve"> </t>
    </r>
    <r>
      <rPr>
        <i/>
        <sz val="10"/>
        <color indexed="30"/>
        <rFont val="Arial"/>
        <family val="2"/>
        <charset val="238"/>
      </rPr>
      <t xml:space="preserve">Právem investora či zadavatele je, po projednání s projektantem, před zahájením výběrového řízení na zhotovitele, vybrané položky rozpočtu/výkazu výměr </t>
    </r>
    <r>
      <rPr>
        <b/>
        <i/>
        <sz val="10"/>
        <color indexed="30"/>
        <rFont val="Arial"/>
        <family val="2"/>
        <charset val="238"/>
      </rPr>
      <t>vypustit,</t>
    </r>
    <r>
      <rPr>
        <i/>
        <sz val="10"/>
        <color indexed="30"/>
        <rFont val="Arial"/>
        <family val="2"/>
        <charset val="238"/>
      </rPr>
      <t xml:space="preserve"> pokud jsou v době konání výběrového řízení vypouštěné položky vůči stavbě bezpředmětné,
   např.: z důvodů okolností, které nastaly v mezidobí od zpracování dokumentace /rozpočtu/ do doby konání výběrového řízení a jejich výkon či zajištění již není nutný, případně pokud investor či zadavatel předmět vypouštěných položek
   zajistil samostatně, či jiným způsobem nebo jinou osobou.</t>
    </r>
  </si>
  <si>
    <r>
      <rPr>
        <sz val="10"/>
        <color indexed="30"/>
        <rFont val="Calibri"/>
        <family val="2"/>
        <charset val="238"/>
      </rPr>
      <t>•</t>
    </r>
    <r>
      <rPr>
        <i/>
        <sz val="11.5"/>
        <color indexed="30"/>
        <rFont val="Arial"/>
        <family val="2"/>
        <charset val="238"/>
      </rPr>
      <t xml:space="preserve"> </t>
    </r>
    <r>
      <rPr>
        <i/>
        <sz val="10"/>
        <color indexed="30"/>
        <rFont val="Arial"/>
        <family val="2"/>
        <charset val="238"/>
      </rPr>
      <t xml:space="preserve">Právem investora či zadavatele je, po projednání s projektantem, před zahájením výběrového řízení na zhotovitele, vybrané položky rozpočtu / výkazu výměr </t>
    </r>
    <r>
      <rPr>
        <b/>
        <i/>
        <sz val="10"/>
        <color indexed="30"/>
        <rFont val="Arial"/>
        <family val="2"/>
        <charset val="238"/>
      </rPr>
      <t>dopřesnit,</t>
    </r>
    <r>
      <rPr>
        <i/>
        <sz val="10"/>
        <color indexed="30"/>
        <rFont val="Arial"/>
        <family val="2"/>
        <charset val="238"/>
      </rPr>
      <t xml:space="preserve"> pokud dospěl k názoru či zjištění, že popis položek či jejich množství je vůči 
   zadávané stavbě potřeba specifikovat jiným způsobem /popisem dodávky, prací, změnou požadované technologie dodávky, apod. příp. předpokládaným množstvím/.</t>
    </r>
  </si>
  <si>
    <r>
      <rPr>
        <sz val="10"/>
        <color indexed="30"/>
        <rFont val="Calibri"/>
        <family val="2"/>
        <charset val="238"/>
      </rPr>
      <t>•</t>
    </r>
    <r>
      <rPr>
        <i/>
        <sz val="11.5"/>
        <color indexed="30"/>
        <rFont val="Arial"/>
        <family val="2"/>
        <charset val="238"/>
      </rPr>
      <t xml:space="preserve"> </t>
    </r>
    <r>
      <rPr>
        <i/>
        <sz val="10"/>
        <color indexed="30"/>
        <rFont val="Arial"/>
        <family val="2"/>
        <charset val="238"/>
      </rPr>
      <t>Při nejasnostech uchazeče vůči předmětu položky /položek/ na dodávku materiálu či prací, je tento povinen ve lhůtě stanovené pro tento případ investorem / zadavatelem učinit dotaz způsobem investorem / zadavatelem definovaným
   s požadavkem vysvětlení či dopřesnění specifikace položky, pro možnost správného a jednoznačného nacenění položky zhotovitelem do předkládané nabídky. Investor či zadavatel je povinen uchazeči ve lhůtě stanovené na dotaz odpovědět,
   resp. odpověď vůči uchazeči zajistit od projektanta či zpracovatele rozpočtu. Investor či zadavatel je v takovém případě povinen seznámit s dotazem i odpovědí k dotazu ve stanovené lhůtě i ostatní uchazeče o dodávku díla.</t>
    </r>
  </si>
  <si>
    <r>
      <rPr>
        <sz val="11"/>
        <color indexed="30"/>
        <rFont val="Arial"/>
        <family val="2"/>
        <charset val="238"/>
      </rPr>
      <t>•</t>
    </r>
    <r>
      <rPr>
        <sz val="10"/>
        <color indexed="30"/>
        <rFont val="Arial"/>
        <family val="2"/>
        <charset val="238"/>
      </rPr>
      <t xml:space="preserve"> </t>
    </r>
    <r>
      <rPr>
        <i/>
        <sz val="10"/>
        <color indexed="30"/>
        <rFont val="Arial"/>
        <family val="2"/>
        <charset val="238"/>
      </rPr>
      <t>V průběhu výběrového řízení se nevylučuje případ, kdy uchazeč v rámci přípravy nabídky pro zadavatele zjistí :    a) absenci rozpočtové položky, b) nesprávně uvedené položky, c) nesprávně vypočtené množství či odhad množství v položce ve výkazu výměr.
   V takovém případě je uchazeč povinen k tomuto zadavateli, či osobě pověřené zadavatelem, učinit dotaz, na který bude způsobem stanoveným zadavatelem stavby odpovězeno.
   O položenén dotazu, včetně poskytnuté odpovědi na něj, budou vyrozuměni ostatní uchazeči. Tímto bodem není myšleno, že uchazeč je povinen přepočítávat množství každé položky výkazu výměr, či kontrolovat správnost sestavení výkazu výměr, ale stav, 
   kdy je na první pohled zřejmé, že ve výkazu výměr položka chybí, či množství v ní uvedené je stanoveno nesprávně.</t>
    </r>
  </si>
  <si>
    <t>Objekt</t>
  </si>
  <si>
    <t>Zkrácený popis / Varianta</t>
  </si>
  <si>
    <t>M.j.</t>
  </si>
  <si>
    <t>cena (Kč)</t>
  </si>
  <si>
    <t>1000000VD</t>
  </si>
  <si>
    <t>Vedlejší rozpočtové náklady stavby</t>
  </si>
  <si>
    <t>RTS I/2024</t>
  </si>
  <si>
    <t>01</t>
  </si>
  <si>
    <t>VRN</t>
  </si>
  <si>
    <t>Náklady na záchranný archeologický výzkum</t>
  </si>
  <si>
    <t>Investor zajišťuje samostatně na základě samostatné smlouvy</t>
  </si>
  <si>
    <t>02</t>
  </si>
  <si>
    <t>Náklady na činnost koordinátora BOZP, vypracování plánu BOZP, vedení stavby z hlediska BOZP.</t>
  </si>
  <si>
    <t>03</t>
  </si>
  <si>
    <t>Náklady na činnost technického dozoru investora /TDI/</t>
  </si>
  <si>
    <t>04</t>
  </si>
  <si>
    <t>Náklady na autorský dozor stavby - projektant, rozpočtář, apod.</t>
  </si>
  <si>
    <t>05</t>
  </si>
  <si>
    <t>Náklady na medializaci a propagaci stavby, pokud je pro stavbu požadováno</t>
  </si>
  <si>
    <t>06</t>
  </si>
  <si>
    <t>Náklady na dohledovou činnost ze strany arboristy, dendrologa, vyžaduje-li to charakter stavby</t>
  </si>
  <si>
    <t>1000001VD</t>
  </si>
  <si>
    <t>Náklady na „papírový“ dotisk / dotisky / dokumentace či jejich dílčích částí pro potřeby zhotovitele.</t>
  </si>
  <si>
    <t>Náklady na "papírový" dotisk/y/ PD či jejich dílčích částí v rozsahu dle požadavku či potřeb zhotovitele
Poznámka : Potřeba se nepředpokládá.</t>
  </si>
  <si>
    <t>1000002VD</t>
  </si>
  <si>
    <t>Náklady na dopracování vybraných oddílů dokumentace do stupně prováděcí dokumentace.</t>
  </si>
  <si>
    <t>Náklady na dopracování dokumentace pro realizaci stavby.
Poznámka : Potřeba se nepředpokládá.</t>
  </si>
  <si>
    <t>1000003VD</t>
  </si>
  <si>
    <t>Náklady na vypracování Harmonogramu stavebních prací</t>
  </si>
  <si>
    <t xml:space="preserve">Náklady na vypracování harmonogramu stavebních prací pro stavbu, příp. harmonogramu pro etapizaci stavby, průběžná aktualizace, projednání a odsouhlasení s investorem, provozovatelem,
DOSS /dotčenými orgány státní správy/ a koordinátorem BOZP. </t>
  </si>
  <si>
    <t>1000004VD</t>
  </si>
  <si>
    <t>Náklady na pasportizaci území před stavbou, v průběhu stavby a po stavbě - viz. poznámka</t>
  </si>
  <si>
    <t>Náklady na pasportizaci nemovitostí, objektů, konstrukcí, komunikací, vodotečí a porostů přilehlých ke stavbě, příp. zadavatelem, dozorem stavby, projektantem vytipovaných objektů přilehlých ke staveništním dopravním cestám (exteriér, interiér, sklepní prostory) s důrazem na stávající stav konstrukcí a případných poruch konstrukcí, včetně jejich zadokumentování). Výstupem bude popisná zpráva k jednotlivým nemovitostem, objektům, konstrukcím, komunikacím, atd. doložená fotodokumentací s datem a časem pořízení, ve vazbě na zjištěné poruchy konstrukcí se závěrečným vyhodnocením k předmětné stavbě odpovědnou osobou, před stavbou, v průběhu stavby a po dokončení stavby ve smyslu nebezpečí ohrožení těchto konstrukcí realizací předmětné stavby, resp. s určením postupů či opatření pro elminaci škod na zdraví či majektu.  - 2 x výtisk, 2 x CD</t>
  </si>
  <si>
    <t>1000005VD</t>
  </si>
  <si>
    <t>Náklady na činnosti, dopravu a režii smluvně zajištěného statika po dobu stavby</t>
  </si>
  <si>
    <t>Náklady na činnosti, dopravu a režii smluvně zajištěného statika stavebních konstrukcí na stavbě před zahájením zemních prací a v průběhu provádění vlastní stavby pro jednotlivé pracovní úseky v rámci stavby pro odsouhlasení či upřesnění technologických postupů, možného užití techniky a strojního vybavení, určení délky pracovních úseků a pro návrh případných opatření, ve vazbě na pasportizaci domů, objektů a konstrukcí dle bodu 
č. 3 ač.4 pro zajištění stability objektů a konstrukcí a pro stanovení opatření pro zamezení vzniku poruch na nich, případně pro stanovení opatření pro zajištění nezvětšování se poruch, pokud byly tyto na konstrukcích před stavbou zjištěny, případně pro dopřesnění pracovních postupů a technického řešení stavby či dílčích částí stavby.</t>
  </si>
  <si>
    <t>1000006VD</t>
  </si>
  <si>
    <t>Nákl. na činnosti, dopravu a režii smluvně zajištěného hydrogeologa po dobu stavby</t>
  </si>
  <si>
    <t>Náklady na činnosti, dopravu a režii smluvně zajištěného hydrogeologa na stavbě pro průběžné mapování skladby geologického podloží v rozsahu stavby se závěrečným vyhodnocením geologie území písemnou zprávou, 
s důrazem na ověření tříd těžitelnosti hornin dle ČSN 733050 Zemní práce, vyhodnocování vytěženého materiálu pro možnost jeho zpětného využití s ohledem na skladbu, zastoupené frakce a jeho hutnitelnost pro požadované hutnění předepsané jednotlivými oddíly dokumentace, dokumentace a vyhodnocení hladiny spodní vody a nutnosti staveništního čerpání.</t>
  </si>
  <si>
    <t>1000007VD</t>
  </si>
  <si>
    <t>Náklady na projednání a zajištění míst mezideponií a deponií vytěžených hmot</t>
  </si>
  <si>
    <t xml:space="preserve">Náklady na projednání a zajištění míst mezideponií a deponií vytěžených hmot, tzn. projednání uložení vytěžených hmot na dočasné skládky po dobu stavby, respektive trvalé skládky za účelem trvalého uložení vytěžených hmot
s vlastníky pozemků či skládek. Před zahájením stavby bude doložen investorovi smluvní vztah s vlastníkem pozemků na nichž budou zeminy či vytěžené hmoty ukládány.
V případě, že ukládání hmot bude vyžadovat vyjádření DOSS /dotčených orgánů státní správy/, jsou předmětem položky rovněž náklady na jejich zajištění.
Likvidace vytěžených hmot, sutí či jiných odpadů vzniklých při stavbě, bude prováděna v souladu se Zákonem o odpadech č.185/2001 Sb. v platném znění. 
V případě, že investor stavby dočasná a trvalá místa uskladnění hmot specifikuje, bude položka vypuštěna, případně ze strany zadavatele bude dopřesněn způsob ocenění položky.
</t>
  </si>
  <si>
    <t>1000008VD</t>
  </si>
  <si>
    <t>Náklady na projednání a zajištění přístupových tras na staveniště</t>
  </si>
  <si>
    <t>Náklady na projednání a zajištění přístupových tras na staveniště, pro přístup ke stavbě, odvoz zemin a přísun materiálu potřebného k realizaci stavby, projednání s vlastníky a správci komunikací ve vazbě na konstrukce komunikací, mostů, propustků apod., s ohledem na jejich stav a únosnost, ve vazbě na druh, rozměry, hmotnost, poloměr otáčení techniky navržené zhotovitelem k užití při realizaci stavby a pro znalost techniky, kterou je k naplnění předmětu díla možné použít, tedy kterou je nutné v potřebném počtu zhohotovitelem zajistit.
Staveniště je snadno přístupné, potřeba položky se nepředpokládá.</t>
  </si>
  <si>
    <t>1000009VD</t>
  </si>
  <si>
    <t>Náklady na projednání a zajištění míst GZS (zázemí zhotovitele, skládky trubních vedení, 
materiálů k zabudování do stavby, skládky sypkých materiálů).</t>
  </si>
  <si>
    <t>Náklady na projednání a zajištění dočasných záborů ploch pro potřeby zhotovitele stavby, včetně případných poplatků za pronájem ploch.
V případě, že investor stavby místa GZS specifikuje, bude položka vypuštěna, případně ze strany zadavatele bude dopřesněn způsob ocenění položky.</t>
  </si>
  <si>
    <t>1000010VD</t>
  </si>
  <si>
    <t>Náklady na projednání a realizaci dočasného připojení GZS na sítě ZTI (přípojka voda, kanalizace, NN, T, apod.), při zájmu či potřebě zhotovitele na zřízení těchto přípojek.</t>
  </si>
  <si>
    <t>Pokud zhotovitel napojení objektů GZS na inženýrské sítě požaduje, provede provozorní dočasné připojení na své náklady. 
Potřeba napojení na vodovod a kanalizaci se nepředpokládá. Dodávka NN bude zajištěna elektrocentrálou v režii zhotovitele.</t>
  </si>
  <si>
    <t>1000011VD</t>
  </si>
  <si>
    <t>Náklady na zřízení, údržbu, přemístění a zrušení, oplocení či ohrazení ploch GZS, či jeho dílčích částí.</t>
  </si>
  <si>
    <t>Položka obsahuje náklady na zabezpečení ploch a objektů GZS zhotovitele pro informovanost a výstrahu 3. osob vůči stavbě v souvislosti se zajištěním oplocení / ohrazení ploch či informovanosti o plochách, omezení vstupu na tyto plochy 3. osobami. Koordinace ve spolupráci s TDI a Koordinátorem bezpečnosti práce.</t>
  </si>
  <si>
    <t>1000012VD</t>
  </si>
  <si>
    <t>Náklady na zřízení, údržbu, přemístění a zrušení vyznačení a ohrazení výkopových rýh a jam, případně jejich jiné vyznačení v terénu po dobu jejich existence s odkazem na předpis PD, předpisy BOZP a součinnost určeného koordinátora BOZP stavby.</t>
  </si>
  <si>
    <t>Zajištění vyznačení a ohrazení výkopových rýh a jam v terénu staveniště pro pohyb a jízdu kolem nich, pokud charakter úseku stavby chůzi a jízdu kolem výkopů umožňuje. Koordinace ve spolupráci s TDI a Koordinátorem BOZP.</t>
  </si>
  <si>
    <t>1000013VD</t>
  </si>
  <si>
    <t>Náklady na pořízení informačních, zákazových a příkazových značek a informačních cedulí
pro zajištění označení stavby a pohybu po staveništi</t>
  </si>
  <si>
    <t>Náklady na pořízení informačních, zákazových a příkazových značek a informačních cedulí pro zajištění označení stavby (osazení z každé přístupové strany na staveniště) a příkazových cedulí pro vymezení pohybu po staveništi
pro pracovníky stavby, techniku stavby a pro třetí osoby vůči stavbě (osazení dle potřeby pracovního úseku ), náklady na osazení, přemístění a zrušení značení stavby.
Předmětem není přechodné dopravní značení, které je zahrnuto samostatnou položkou.</t>
  </si>
  <si>
    <t>1000014VD</t>
  </si>
  <si>
    <t xml:space="preserve">Náklady na osazení přechodových lávek pro chodce. Osazení, přemisťování s postupem vstavby, odstranění. </t>
  </si>
  <si>
    <t>Náklady na osazení přechodových lávek pro chodce min. šířky 0,90 m s bezpečnostním zábradlím a okopovým plechem do výšky min. 0,1 m nad podlahu v konstrukčním a materiálovém provedení vhodném pro využití dle zásad bezbariérovosti ve smyslu vztahujících se předpisů. (nerozlišuje se, zda zhotovitel poskytne lávky v jeho vlastnictví, pořídí je formou pronájmu, resp. je pořizuje či vyrábí nově). Potřebný počet pro úsek stavby a dobu trvání jeho realizace. Zajištění průchodu ulicí, zajištění vstupů do nemovitostí, osazení, přesun dle potřeby, odstranění.</t>
  </si>
  <si>
    <t>1000015VD</t>
  </si>
  <si>
    <t>Náklady na pořízení či pronájem přejezdových lávek pro vozidla do 3,5 t v případě potřeby na jejich zřízení. Osazení, přemisťování a zrušení.</t>
  </si>
  <si>
    <t>Počet je stanoven orientačně, zhotovitel dopřesní potřebný počet dle harmonogramu s ohledem na souběžně prováděné práce. 
Parkování vozidel vlastníků nemovitostí, bytů po určitou dobu stavby bude v jiném místě než před domem, vše bude koordinováno zhotovitelem, zástupcem zadavatele a zástupci přilehlé zástavby.</t>
  </si>
  <si>
    <t>1000016VD</t>
  </si>
  <si>
    <t>Náklady na projednání DIO /MMJ, odbor dopravy, Policie ČR, DI, veřejná doprava, příp. další/.</t>
  </si>
  <si>
    <t>Náklady na projednání DIO /MMJ, odbor dopravy, Policie ČR, DI, veřejná doprava, příp. další/, návrh a zajištění objízdných tras, uzavírek komunikací, zřízení, přemisťování a zrušení dočasného mobilního dopravního značení, včetně mobilní světelné signalizace /pokud je tato předepsána, případně pokud je pro zhotovitele prací výhodné tuto použít pro zajištění bezpečnosti provozu a urychlení prací/, pro pracovní úseky stavby ve vazbě na harmonogram prací.
Základní výčet dopravního značení je předmětem situace C.3., zahrnuje 10 ks mobilních dopravních značek, 2ks zábrany Z2, cca 2-4 ks zábrany Z4a, 2-4 ks zábrany Z4b, 2 ks mobilní semaforová souprava.
Celkové přechodné dopravní značení dopřesní zhotovitel stavby s DI PČR na základě známého termínu provádění stavby, kdy přechodné značení může být ovlivněno omezeními v jiných ulicích v území města, apod.</t>
  </si>
  <si>
    <t>1000017VD</t>
  </si>
  <si>
    <t>Náklady na staveništní a mimostavenišní dopravu v rozsahu potřebném pro realizaci stavby.</t>
  </si>
  <si>
    <t xml:space="preserve">Položka zohledňuje zvýšené náklady na mimostaveništní a vnitrostaveništní dopravu zhotovitele, individuální kalkulace zhotovitele.
</t>
  </si>
  <si>
    <t>1000018VD</t>
  </si>
  <si>
    <t>Náklady zhotovitele na přemisťování nádob TDO po dobu stavby do přístupného místa pro odvozce TDO</t>
  </si>
  <si>
    <t>Náklady na projednání předávacích míst / shromaždišť nádob TDO a režimu vývozu TDO ve vazbě na harmonogram prací a náklady na přepravu nádob TDO z objektů nepřístupných po dobu stavby pro svozový vůz odvozce odpadů, na určená místa, včetně návratu nádob do nemovitostí po jejich vyprázdnění odvozcem odpadu. Položka je platná pro všechny SO v intravilánu obce a po celou dobu stavby, kdy bude příjezd k nádobám TDO znemožněn nebo ztížen.</t>
  </si>
  <si>
    <t>1000019VD</t>
  </si>
  <si>
    <t>Náklady na projednání a zajištění dohledu nad provizorními povrchovými konstrukcemi a sítěmi</t>
  </si>
  <si>
    <t>Náklady na projednání a zajištění dohledu nad provizorními povrchovými konstrukcemi a sítěmi v době mimo pracovní činnost na stavbě, údržba a drobné opravy těchto konstrukcí dle potřeby, včetně zajištění jejich spolehlivého provozu po dobu existence, tj do doby jejich zrušení.
Nutnost dohledu se nepředpokládá.</t>
  </si>
  <si>
    <t>1000020VD</t>
  </si>
  <si>
    <t>Náklady na zajištění součinnosti zhotovitele stavby se správci ostatních sítí, zařízení a komunikací potřebné pro zajištění stavby či jejích dílčích částí.</t>
  </si>
  <si>
    <r>
      <t xml:space="preserve">Položka zohledňuje součinnost se správci sítí, komunikací, vodotečí potřebnou pro řádné provedení díla.
Výčet existujících sítí v ulici - viz.: Souhrnná technická zpráva a Dokladová část PD.
</t>
    </r>
    <r>
      <rPr>
        <b/>
        <i/>
        <sz val="10"/>
        <color indexed="30"/>
        <rFont val="Arial"/>
        <family val="2"/>
        <charset val="238"/>
      </rPr>
      <t>PŘEDPIS PRO ZHOTOVITELE - PROSTUDOVÁNÍ STANOVISEK SPRÁVCŮ SÍTÍ, jakožto i dokladové části PD obecně.</t>
    </r>
  </si>
  <si>
    <t>1000021VD</t>
  </si>
  <si>
    <t>Náklady na zajištění součinnosti zhotovitele stavby s provozovatelem vodovodu a kanalizace.</t>
  </si>
  <si>
    <t>Náklady na zajištění součinnosti zhotovitele stavby s provozovatelem vodovodu a kanalizace pro odstavování, rušení, přepojování, připojování řadů a přípojek a pro činnosti související se zřizováním provizorních kanalizací 
a jejich zpětných rušení, včetně dočasného přepojení přípojek na provizoria, včetně jejich zrušení po ukončení provozu provizorií
- výčet činností se zhotoviteli nepředepisuje, vyplyne v průběhu výstavby. 
Obecně je nutno zhotovitelem, případně zprostředkovaně zajistit veškeré činnosti zajišťující dodávku vody spotřebiteli, včetně odkanalizování nemovitostí po dobu trvání stavby, do doby jejího uvedení do provozu.
Předepisuje se součinnost zhotovitele stavby ve věci napojení nově budovaných IS na veřejný vodovod a kanalizaci ve správě SMJ.</t>
  </si>
  <si>
    <t>1000022VD</t>
  </si>
  <si>
    <t>Náklady na vytyčení parcelních hranic pozemků určených ke stavbě.</t>
  </si>
  <si>
    <r>
      <t xml:space="preserve">Náklady na vytyčení parcelních hranic pozemků určených ke stavbě, případně jiných dle charakteru a vývoje stavby, případně dle požadavku investora, TDI či jiných účastníků stavby (vlastníci pozemků) 
specifikace položky : vytyčení parcelní hranice dle předpisu PD dle evidence KN příslušného KÚ, </t>
    </r>
    <r>
      <rPr>
        <b/>
        <i/>
        <sz val="10"/>
        <color indexed="30"/>
        <rFont val="Arial"/>
        <family val="2"/>
        <charset val="238"/>
      </rPr>
      <t>terén přehledný</t>
    </r>
    <r>
      <rPr>
        <i/>
        <sz val="10"/>
        <color indexed="30"/>
        <rFont val="Arial"/>
        <family val="2"/>
        <charset val="238"/>
      </rPr>
      <t>, protokol o vytyčení. Výčet pozemků je zřejmý ze Situačních příloh.
Poznámka : Vytyčení pozemku č.parc.: 6015 a na jeho hranici body navazujících pozemků 1886/5, 1188, 1882/9. Dopřesněno bude při stavbě.</t>
    </r>
  </si>
  <si>
    <t>1000023VD</t>
  </si>
  <si>
    <r>
      <t xml:space="preserve">Náklady na vytyčení parcelních hranic pozemků určených ke stavbě, případně jiných dle charakteru a vývoje stavby, případně dle požadavku investora, TDI či jiných účastníků stavby (vlastníci pozemků) 
specifikace položky : vytyčení parcelní hranice dle předpisu PD dle evidence KN příslušného KÚ, </t>
    </r>
    <r>
      <rPr>
        <b/>
        <i/>
        <sz val="10"/>
        <color indexed="30"/>
        <rFont val="Arial"/>
        <family val="2"/>
        <charset val="238"/>
      </rPr>
      <t>terén nepřehledný</t>
    </r>
    <r>
      <rPr>
        <i/>
        <sz val="10"/>
        <color indexed="30"/>
        <rFont val="Arial"/>
        <family val="2"/>
        <charset val="238"/>
      </rPr>
      <t>, protokol o vytyčení. Výčet pozemků je zřejmý ze Situačních příloh.
Potřeba položky se nepředpokládá.</t>
    </r>
  </si>
  <si>
    <t>1000024VD</t>
  </si>
  <si>
    <t xml:space="preserve">Náklady na vypracování GP vybudované stavby vůči jednotlivým pozemkům. </t>
  </si>
  <si>
    <t>Náklady na vypracování GP vybudované stavby vůči jednotlivým pozemkům Náklady na vypracování GP vybudované stavby vůči jednotlivým pozemkům pro vnos věcného břemene /služebnosti/ do evidence KN, liniová stavba.
specifikace položky : GP cca 109 bm, vodovod, 86,50 bm kanalizace, odbočení  dle tabulky na Situaci.</t>
  </si>
  <si>
    <t>1000025VD</t>
  </si>
  <si>
    <t>Náklady na vypracování GP vybudované stavby vůči jednotlivým pozemkům
pro vnos věcného břemene /služebnosti/.</t>
  </si>
  <si>
    <r>
      <t xml:space="preserve">Náklady na vypracování GP vybudované stavby vůči jednotlivým pozemkům pro vnos věcného břemene /služebnosti/ do evidence KN, liniová stavba.
specifikace položky : GP cca 0,00 bm liniové stavby do mapy KN příslušného KÚ, </t>
    </r>
    <r>
      <rPr>
        <b/>
        <i/>
        <sz val="10"/>
        <color indexed="30"/>
        <rFont val="Arial"/>
        <family val="2"/>
        <charset val="238"/>
      </rPr>
      <t>terén nepřehledný.</t>
    </r>
    <r>
      <rPr>
        <i/>
        <sz val="10"/>
        <color indexed="30"/>
        <rFont val="Arial"/>
        <family val="2"/>
        <charset val="238"/>
      </rPr>
      <t xml:space="preserve"> Položka se nepředpokládá, nezastoupena.</t>
    </r>
  </si>
  <si>
    <t>1000026VD</t>
  </si>
  <si>
    <t>Polohové a hloubkové vytyčení stávajících sítí před zahájením zemních prací pro stavbu .</t>
  </si>
  <si>
    <t>Polohové a hloubkové vytyčení stávajících sítí před zahájením zemních prací pro stavbu /etapy stavby/ ( + opakované vytyčení v případě poškození, ztráty, znehodnocení či nejasnosti vytyčovacích znaků v terénu staveniště )
sítě a zařízení, včetně protokolárního předání vytyčení, v rozsahu uvedeném v technických zprávách jednotlivých objektů a v Dokladové části dokumentace.                                     
v případech kdy není možno jednoznačně v terénu definovat polohu, profil, hloubku, počet souběžných vedení, předepisuje se zápis do deníku stavby, včetně určení způsobu pro dopřesnění požadovaných údajů.</t>
  </si>
  <si>
    <t>1000027VD</t>
  </si>
  <si>
    <t>Náklady na vytyčení navrhované stavby - kanalizace, vodovod + odbočení.</t>
  </si>
  <si>
    <t xml:space="preserve">Vytyčeno bude geodetem dle souřadnic uvedených v projektové dokumentaci.
</t>
  </si>
  <si>
    <t>1000028VD</t>
  </si>
  <si>
    <t>Náklady na provedení kopané sondy do objemu 8 m3 (2x2x2 m).</t>
  </si>
  <si>
    <r>
      <t xml:space="preserve">Náklady na provedení kopané sondy do objemu 8 m3 (2x2x2 m) za účelem ověření polohy sítí, oprava povrchu, </t>
    </r>
    <r>
      <rPr>
        <b/>
        <i/>
        <sz val="10"/>
        <color indexed="30"/>
        <rFont val="Arial"/>
        <family val="2"/>
        <charset val="238"/>
      </rPr>
      <t>plocha zpevněná</t>
    </r>
    <r>
      <rPr>
        <i/>
        <sz val="10"/>
        <color indexed="30"/>
        <rFont val="Arial"/>
        <family val="2"/>
        <charset val="238"/>
      </rPr>
      <t xml:space="preserve"> (asfalt, beton, dlažba), včetně zpětných zásypů, zhutnění a uvedení povrchu do provizorně sjízdného stavu plochy, účtována bude skutečnost.
PŘEDPIS : Sondy pro ověření polohy a nivelety sítě, materiálu a profilu pro nákup materiálu pro stavbu. Sondy I, II, III, IV - vyznačeno v Situaci stavby.</t>
    </r>
  </si>
  <si>
    <t>1000029VD</t>
  </si>
  <si>
    <r>
      <t xml:space="preserve">Náklady na provedení kopané sondy do objemu 8 m3 (2x2x2 m) za účelem ověření polohy sítí, oprava povrchu, </t>
    </r>
    <r>
      <rPr>
        <b/>
        <i/>
        <sz val="10"/>
        <color indexed="30"/>
        <rFont val="Arial"/>
        <family val="2"/>
        <charset val="238"/>
      </rPr>
      <t>plocha nezpevněná</t>
    </r>
    <r>
      <rPr>
        <i/>
        <sz val="10"/>
        <color indexed="30"/>
        <rFont val="Arial"/>
        <family val="2"/>
        <charset val="238"/>
      </rPr>
      <t>, včetně zpětných zásypů, zhutnění a obnovy povrchu do stavu okolní plochy,
účtována bude skutečnost.
Položka se nepředpokládá, nezastoupena.</t>
    </r>
  </si>
  <si>
    <t>1000030VD</t>
  </si>
  <si>
    <t>Náklady za dodávku vody pro staveništní využití - z řadu provozovatele,
případně dovozem či odběrem z jiného zdroje, V = 10 m3, účtována bude skutečnost.</t>
  </si>
  <si>
    <t>Staveništní zásobování vodou. Položka se nepředpokládá, nezastoupena.</t>
  </si>
  <si>
    <t>1000031VD</t>
  </si>
  <si>
    <t>Náklady na proplach a tlakové čištění kanalizace, /CAS, FAUN, apod./, 1 x dojezd + aplikace
V = cca 8 m3, účtována bude skutečnost.</t>
  </si>
  <si>
    <t>Proplach a čištění kanalizace.
Poznámka : Zahrnuto v rozpočtu SO 302, Položka nezastoupena.</t>
  </si>
  <si>
    <t>1000032VD</t>
  </si>
  <si>
    <t>Náklady na údržbu a čištění komunikací a zpevněných ploch po dobu výstavby, /CAS, FAUN, apod./,
1 x dojezd + čištění, V = 8 m3</t>
  </si>
  <si>
    <t>Zadavateli stavby se doporučuje položku dopřesnit, tj. specifikovat kdy bude výkon po zhotoviteli požadován.</t>
  </si>
  <si>
    <t>1000033VD</t>
  </si>
  <si>
    <t>Náklady na odběr a vzorky vody před uvedením vodovodního řadu a přípojek do provozu.
3 x krácený rozbor vody dle Vyhlášky č. 252/2004 Sb., kterou se stanoví hygienické požadavky na pitnou
a teplou vodu a četnost a rozsah kontroly pitné vody</t>
  </si>
  <si>
    <t>Odběr vzorků vody, manipulace, přeprava až po vyhodnocení s výstupním protokoly.</t>
  </si>
  <si>
    <t>1000034VD</t>
  </si>
  <si>
    <t>Náklady na kompletizaci technologických zařízení stavby a jeho provozního odzkoušení</t>
  </si>
  <si>
    <t>Poznámka : Položka nezastoupena. V rámci stavby se nenavrhují technologická zařízení.</t>
  </si>
  <si>
    <t>1000035VD</t>
  </si>
  <si>
    <t xml:space="preserve">Dokumentace skutečného provedení stavebních objektů. </t>
  </si>
  <si>
    <t>Dokumentace skutečného provedení stavebních objektů /opravené Situace, podélné profily, kladečská schemata, předepsaná fotodokumentace a přípojkové karty, atd./, dle specifikace uvedené u jednotlivých stavebních objektů,
mimo geodetického zaměření Microstation.                                      
3 x tisk, 3 x CD se soubory dat - *.doc, *xls, *.dgn, *.dwg</t>
  </si>
  <si>
    <t>1000036VD</t>
  </si>
  <si>
    <t xml:space="preserve">Dokumentace skutečného provedení stavebních objektů a provozních souborů. </t>
  </si>
  <si>
    <t>Dokumentace skutečného provedení stavebních objektů a provozních souborů
zpracování blokových a liniových schémat elektrorozvaděčů
soupis strojů a zařízení s jednoznačným určením výrobce, názvu, typu, charakteristiky stroje a štítkového výkonu
3 x tisk, 3 x CD se soubory dat - *.doc, *xls, *.dgn, *.dwg
Položka nezastoupena.</t>
  </si>
  <si>
    <t>1000037VD</t>
  </si>
  <si>
    <t>Geodetické zaměření skutečného stavu provedených sítí dle jednotlivých SO.</t>
  </si>
  <si>
    <t xml:space="preserve">Geodetické zaměření skutečného stavu provedených sítí dle jednotlivých SO, včetně nákladů na opakovanou dopravu geodetické skupiny, práce kancelářské a výstupní materiál
zpracování bude samostatně po stavebních objektech. Zpracováno bude geodetem dle běžných zvyklostí s důrazem na geodetické zaměření kanalizace od místa napojení na stoku po 2 vstupy přípojek do domu. Zaměření místa a nivelet křížení s vodovodním řadem. Zaměřeno bude před zásypem potrubí.
3 x tisk, 3 x CD se soubory dat – *.doc, *.xls, *.dgn, *.dwg
</t>
  </si>
  <si>
    <t>1000038VD</t>
  </si>
  <si>
    <t>Náklady na vypracování provozního řádu vybudovaného díla.</t>
  </si>
  <si>
    <t>3 x tisk, 3 x CD se soubory dat – *.doc, *.xls, *.dgn, *.dwg 
Poznámka : Zpracování samostatného provozního řádu se nepředpokládá.</t>
  </si>
  <si>
    <t>SO 001 VRN - Vedlejší rozpočtové náklady stavby - CELKEM, REKAPITULACE</t>
  </si>
  <si>
    <t>SOUČET NÁKLADŮ bez DPH</t>
  </si>
  <si>
    <t>Kč bez DPH</t>
  </si>
  <si>
    <t xml:space="preserve">Poznámka : </t>
  </si>
  <si>
    <t>1) V době dopracování rozpočtu není přesně znám způsob, jakým bude investor pořádat výběrové řízení na zhotovitele stavby, tj. zda bude zadávat stavbu jako celek, případně zda bude tuto členit na etapy výstavby.</t>
  </si>
  <si>
    <t>2) S odkazem na bod 1) se nevyulučuje nutnost tento výkaz výměr aktualizovat.</t>
  </si>
  <si>
    <t>Statutární město Jihlava, Masarykovo náměstí 1, 586 01 Jihlava</t>
  </si>
  <si>
    <t>Výkaz výměr / Soupis prací, dodávek a služeb - neoceněný 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</si>
</sst>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 _K_č_-;\-* #,##0.00\ _K_č_-;_-* \-??\ _K_č_-;_-@_-"/>
    <numFmt numFmtId="166" formatCode="#,##0\ &quot;Kč&quot;"/>
    <numFmt numFmtId="167" formatCode="000\ 00"/>
  </numFmts>
  <fonts count="74" x14ac:knownFonts="1">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u/>
      <sz val="10"/>
      <color indexed="12"/>
      <name val="Arial CE"/>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0"/>
      <name val="Arial CE"/>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b/>
      <sz val="14"/>
      <name val="Arial CE"/>
      <family val="2"/>
      <charset val="238"/>
    </font>
    <font>
      <b/>
      <sz val="12"/>
      <name val="Arial CE"/>
      <family val="2"/>
      <charset val="238"/>
    </font>
    <font>
      <sz val="12"/>
      <name val="Arial CE"/>
      <family val="2"/>
      <charset val="238"/>
    </font>
    <font>
      <sz val="11"/>
      <name val="Arial CE"/>
      <family val="2"/>
      <charset val="238"/>
    </font>
    <font>
      <b/>
      <sz val="11"/>
      <name val="Arial CE"/>
      <family val="2"/>
      <charset val="238"/>
    </font>
    <font>
      <sz val="11"/>
      <color indexed="10"/>
      <name val="Arial CE"/>
      <family val="2"/>
      <charset val="238"/>
    </font>
    <font>
      <i/>
      <sz val="11"/>
      <name val="Arial CE"/>
      <family val="2"/>
      <charset val="238"/>
    </font>
    <font>
      <b/>
      <sz val="9"/>
      <color indexed="10"/>
      <name val="Arial CE"/>
      <family val="2"/>
      <charset val="238"/>
    </font>
    <font>
      <b/>
      <sz val="13"/>
      <name val="Arial CE"/>
      <family val="2"/>
      <charset val="238"/>
    </font>
    <font>
      <sz val="8"/>
      <name val="Trebuchet MS"/>
      <family val="2"/>
    </font>
    <font>
      <sz val="8"/>
      <name val="Trebuchet MS"/>
      <family val="2"/>
      <charset val="238"/>
    </font>
    <font>
      <u/>
      <sz val="8"/>
      <color indexed="12"/>
      <name val="Trebuchet MS"/>
      <family val="2"/>
      <charset val="238"/>
    </font>
    <font>
      <sz val="8"/>
      <name val="Trebuchet MS"/>
      <family val="2"/>
      <charset val="238"/>
    </font>
    <font>
      <u/>
      <sz val="11"/>
      <color theme="10"/>
      <name val="Calibri"/>
      <family val="2"/>
      <charset val="238"/>
      <scheme val="minor"/>
    </font>
    <font>
      <sz val="12"/>
      <color theme="4"/>
      <name val="Arial CE"/>
      <family val="2"/>
      <charset val="238"/>
    </font>
    <font>
      <sz val="10"/>
      <color theme="4"/>
      <name val="Arial CE"/>
      <family val="2"/>
      <charset val="238"/>
    </font>
    <font>
      <b/>
      <sz val="10.5"/>
      <name val="Arial CE"/>
      <family val="2"/>
      <charset val="238"/>
    </font>
    <font>
      <sz val="8"/>
      <name val="Calibri"/>
      <family val="2"/>
      <charset val="238"/>
      <scheme val="minor"/>
    </font>
    <font>
      <sz val="8"/>
      <color theme="1"/>
      <name val="Calibri"/>
      <family val="2"/>
      <charset val="238"/>
      <scheme val="minor"/>
    </font>
    <font>
      <sz val="9"/>
      <color theme="1"/>
      <name val="Calibri"/>
      <family val="2"/>
      <charset val="238"/>
      <scheme val="minor"/>
    </font>
    <font>
      <sz val="8"/>
      <name val="Arial"/>
      <family val="2"/>
      <charset val="238"/>
    </font>
    <font>
      <b/>
      <i/>
      <sz val="9"/>
      <name val="Arial CE"/>
      <charset val="238"/>
    </font>
    <font>
      <b/>
      <i/>
      <u/>
      <sz val="8"/>
      <color indexed="12"/>
      <name val="Arial CE"/>
      <charset val="238"/>
    </font>
    <font>
      <b/>
      <i/>
      <sz val="8"/>
      <name val="Arial CE"/>
      <charset val="238"/>
    </font>
    <font>
      <b/>
      <sz val="11"/>
      <name val="Arial CE"/>
      <charset val="238"/>
    </font>
    <font>
      <b/>
      <sz val="10"/>
      <name val="Arial CE"/>
      <charset val="238"/>
    </font>
    <font>
      <sz val="11"/>
      <name val="Calibri"/>
      <charset val="1"/>
    </font>
    <font>
      <sz val="18"/>
      <color rgb="FF000000"/>
      <name val="Arial"/>
      <charset val="238"/>
    </font>
    <font>
      <b/>
      <sz val="10"/>
      <color rgb="FF000000"/>
      <name val="Arial"/>
      <charset val="238"/>
    </font>
    <font>
      <sz val="10"/>
      <color rgb="FF000000"/>
      <name val="Arial"/>
      <charset val="238"/>
    </font>
    <font>
      <i/>
      <sz val="10"/>
      <color rgb="FF0000FF"/>
      <name val="Arial"/>
      <charset val="238"/>
    </font>
    <font>
      <i/>
      <sz val="8"/>
      <color rgb="FF000000"/>
      <name val="Arial"/>
      <charset val="238"/>
    </font>
    <font>
      <sz val="10"/>
      <color rgb="FF000000"/>
      <name val="Arial"/>
      <family val="2"/>
      <charset val="238"/>
    </font>
    <font>
      <sz val="18"/>
      <color indexed="8"/>
      <name val="Arial"/>
      <family val="2"/>
      <charset val="238"/>
    </font>
    <font>
      <sz val="10"/>
      <color indexed="8"/>
      <name val="Arial"/>
      <family val="2"/>
      <charset val="238"/>
    </font>
    <font>
      <b/>
      <sz val="10"/>
      <color indexed="8"/>
      <name val="Arial"/>
      <family val="2"/>
      <charset val="238"/>
    </font>
    <font>
      <i/>
      <sz val="11"/>
      <color indexed="30"/>
      <name val="Arial"/>
      <family val="2"/>
      <charset val="238"/>
    </font>
    <font>
      <i/>
      <sz val="10"/>
      <color indexed="30"/>
      <name val="Calibri"/>
      <family val="2"/>
      <charset val="238"/>
    </font>
    <font>
      <i/>
      <sz val="10"/>
      <color indexed="30"/>
      <name val="Arial"/>
      <family val="2"/>
      <charset val="238"/>
    </font>
    <font>
      <sz val="10"/>
      <color indexed="30"/>
      <name val="Calibri"/>
      <family val="2"/>
      <charset val="238"/>
    </font>
    <font>
      <i/>
      <sz val="11.5"/>
      <color indexed="30"/>
      <name val="Arial"/>
      <family val="2"/>
      <charset val="238"/>
    </font>
    <font>
      <b/>
      <i/>
      <sz val="10"/>
      <color indexed="30"/>
      <name val="Arial"/>
      <family val="2"/>
      <charset val="238"/>
    </font>
    <font>
      <sz val="11"/>
      <color indexed="30"/>
      <name val="Arial"/>
      <family val="2"/>
      <charset val="238"/>
    </font>
    <font>
      <sz val="10"/>
      <color indexed="30"/>
      <name val="Arial"/>
      <family val="2"/>
      <charset val="238"/>
    </font>
    <font>
      <sz val="10"/>
      <color indexed="61"/>
      <name val="Arial"/>
      <family val="2"/>
      <charset val="238"/>
    </font>
    <font>
      <i/>
      <sz val="10"/>
      <color indexed="10"/>
      <name val="Arial"/>
      <family val="2"/>
      <charset val="238"/>
    </font>
    <font>
      <i/>
      <sz val="10"/>
      <color indexed="60"/>
      <name val="Arial"/>
      <family val="2"/>
      <charset val="238"/>
    </font>
    <font>
      <b/>
      <sz val="11"/>
      <color indexed="8"/>
      <name val="Arial"/>
      <family val="2"/>
      <charset val="238"/>
    </font>
    <font>
      <b/>
      <sz val="8"/>
      <color indexed="81"/>
      <name val="Tahoma"/>
      <family val="2"/>
      <charset val="238"/>
    </font>
    <font>
      <sz val="8"/>
      <color indexed="81"/>
      <name val="Tahoma"/>
      <family val="2"/>
      <charset val="238"/>
    </font>
  </fonts>
  <fills count="3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theme="7" tint="0.79998168889431442"/>
        <bgColor indexed="22"/>
      </patternFill>
    </fill>
    <fill>
      <patternFill patternType="solid">
        <fgColor rgb="FF99FFCC"/>
        <bgColor indexed="64"/>
      </patternFill>
    </fill>
    <fill>
      <patternFill patternType="solid">
        <fgColor theme="0" tint="-0.249977111117893"/>
        <bgColor indexed="31"/>
      </patternFill>
    </fill>
    <fill>
      <patternFill patternType="solid">
        <fgColor theme="0" tint="-0.249977111117893"/>
        <bgColor indexed="41"/>
      </patternFill>
    </fill>
    <fill>
      <patternFill patternType="solid">
        <fgColor theme="7" tint="0.59999389629810485"/>
        <bgColor indexed="64"/>
      </patternFill>
    </fill>
    <fill>
      <patternFill patternType="solid">
        <fgColor theme="7" tint="0.59999389629810485"/>
        <bgColor indexed="22"/>
      </patternFill>
    </fill>
    <fill>
      <patternFill patternType="solid">
        <fgColor theme="0" tint="-4.9989318521683403E-2"/>
        <bgColor indexed="31"/>
      </patternFill>
    </fill>
    <fill>
      <patternFill patternType="solid">
        <fgColor rgb="FFC0C0C0"/>
        <bgColor rgb="FFC0C0C0"/>
      </patternFill>
    </fill>
    <fill>
      <patternFill patternType="solid">
        <fgColor indexed="22"/>
        <bgColor indexed="9"/>
      </patternFill>
    </fill>
    <fill>
      <patternFill patternType="solid">
        <fgColor indexed="22"/>
        <bgColor indexed="64"/>
      </patternFill>
    </fill>
    <fill>
      <patternFill patternType="solid">
        <fgColor rgb="FF66FF99"/>
        <bgColor indexed="64"/>
      </patternFill>
    </fill>
  </fills>
  <borders count="107">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diagonalUp="1">
      <left style="thin">
        <color indexed="8"/>
      </left>
      <right style="thin">
        <color indexed="8"/>
      </right>
      <top style="thin">
        <color indexed="8"/>
      </top>
      <bottom style="thin">
        <color indexed="8"/>
      </bottom>
      <diagonal style="thin">
        <color indexed="8"/>
      </diagonal>
    </border>
    <border>
      <left style="medium">
        <color indexed="64"/>
      </left>
      <right style="medium">
        <color indexed="64"/>
      </right>
      <top style="medium">
        <color indexed="64"/>
      </top>
      <bottom style="medium">
        <color indexed="64"/>
      </bottom>
      <diagonal/>
    </border>
    <border>
      <left/>
      <right/>
      <top/>
      <bottom style="thin">
        <color indexed="8"/>
      </bottom>
      <diagonal/>
    </border>
    <border>
      <left style="medium">
        <color indexed="10"/>
      </left>
      <right/>
      <top style="medium">
        <color indexed="10"/>
      </top>
      <bottom/>
      <diagonal/>
    </border>
    <border>
      <left/>
      <right/>
      <top style="medium">
        <color indexed="10"/>
      </top>
      <bottom/>
      <diagonal/>
    </border>
    <border>
      <left/>
      <right style="medium">
        <color indexed="10"/>
      </right>
      <top style="medium">
        <color indexed="10"/>
      </top>
      <bottom/>
      <diagonal/>
    </border>
    <border>
      <left style="medium">
        <color indexed="10"/>
      </left>
      <right/>
      <top/>
      <bottom/>
      <diagonal/>
    </border>
    <border>
      <left/>
      <right style="medium">
        <color indexed="10"/>
      </right>
      <top/>
      <bottom/>
      <diagonal/>
    </border>
    <border>
      <left style="medium">
        <color indexed="10"/>
      </left>
      <right/>
      <top/>
      <bottom style="medium">
        <color indexed="10"/>
      </bottom>
      <diagonal/>
    </border>
    <border>
      <left/>
      <right/>
      <top/>
      <bottom style="medium">
        <color indexed="10"/>
      </bottom>
      <diagonal/>
    </border>
    <border>
      <left/>
      <right style="medium">
        <color indexed="10"/>
      </right>
      <top/>
      <bottom style="medium">
        <color indexed="10"/>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right style="medium">
        <color indexed="64"/>
      </right>
      <top style="thin">
        <color indexed="8"/>
      </top>
      <bottom style="thin">
        <color indexed="8"/>
      </bottom>
      <diagonal/>
    </border>
    <border>
      <left/>
      <right style="thin">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right style="medium">
        <color indexed="64"/>
      </right>
      <top/>
      <bottom style="thin">
        <color indexed="8"/>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8"/>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top/>
      <bottom/>
      <diagonal/>
    </border>
    <border>
      <left/>
      <right style="medium">
        <color indexed="64"/>
      </right>
      <top/>
      <bottom/>
      <diagonal/>
    </border>
    <border>
      <left style="thin">
        <color rgb="FF000000"/>
      </left>
      <right style="thin">
        <color rgb="FF000000"/>
      </right>
      <top/>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style="thin">
        <color rgb="FF000000"/>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diagonal/>
    </border>
    <border>
      <left/>
      <right/>
      <top/>
      <bottom style="thin">
        <color indexed="64"/>
      </bottom>
      <diagonal/>
    </border>
    <border>
      <left style="medium">
        <color indexed="64"/>
      </left>
      <right style="thin">
        <color rgb="FF000000"/>
      </right>
      <top style="medium">
        <color indexed="64"/>
      </top>
      <bottom/>
      <diagonal/>
    </border>
    <border>
      <left/>
      <right style="thin">
        <color rgb="FF000000"/>
      </right>
      <top style="medium">
        <color indexed="64"/>
      </top>
      <bottom/>
      <diagonal/>
    </border>
    <border>
      <left style="medium">
        <color rgb="FF000000"/>
      </left>
      <right/>
      <top style="medium">
        <color indexed="64"/>
      </top>
      <bottom style="thin">
        <color rgb="FF000000"/>
      </bottom>
      <diagonal/>
    </border>
    <border>
      <left/>
      <right/>
      <top style="medium">
        <color indexed="64"/>
      </top>
      <bottom style="thin">
        <color rgb="FF000000"/>
      </bottom>
      <diagonal/>
    </border>
    <border>
      <left/>
      <right style="medium">
        <color rgb="FF000000"/>
      </right>
      <top style="medium">
        <color indexed="64"/>
      </top>
      <bottom style="thin">
        <color rgb="FF000000"/>
      </bottom>
      <diagonal/>
    </border>
    <border>
      <left style="medium">
        <color rgb="FF000000"/>
      </left>
      <right style="medium">
        <color indexed="64"/>
      </right>
      <top style="medium">
        <color indexed="64"/>
      </top>
      <bottom/>
      <diagonal/>
    </border>
    <border>
      <left style="medium">
        <color indexed="64"/>
      </left>
      <right style="thin">
        <color rgb="FF000000"/>
      </right>
      <top/>
      <bottom style="medium">
        <color indexed="64"/>
      </bottom>
      <diagonal/>
    </border>
    <border>
      <left/>
      <right style="thin">
        <color rgb="FF000000"/>
      </right>
      <top/>
      <bottom style="medium">
        <color indexed="64"/>
      </bottom>
      <diagonal/>
    </border>
    <border>
      <left style="medium">
        <color rgb="FF000000"/>
      </left>
      <right style="thin">
        <color rgb="FF000000"/>
      </right>
      <top/>
      <bottom style="medium">
        <color indexed="64"/>
      </bottom>
      <diagonal/>
    </border>
    <border>
      <left/>
      <right style="medium">
        <color rgb="FF000000"/>
      </right>
      <top/>
      <bottom style="medium">
        <color indexed="64"/>
      </bottom>
      <diagonal/>
    </border>
    <border>
      <left style="medium">
        <color rgb="FF000000"/>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60">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0" borderId="1" applyNumberFormat="0" applyFill="0" applyAlignment="0" applyProtection="0"/>
    <xf numFmtId="0" fontId="8" fillId="0" borderId="0" applyNumberFormat="0" applyFill="0" applyBorder="0" applyAlignment="0" applyProtection="0">
      <alignment vertical="top"/>
      <protection locked="0"/>
    </xf>
    <xf numFmtId="0" fontId="37" fillId="0" borderId="0" applyNumberFormat="0" applyFill="0" applyBorder="0" applyAlignment="0" applyProtection="0"/>
    <xf numFmtId="0" fontId="35" fillId="0" borderId="0" applyNumberFormat="0" applyFill="0" applyBorder="0" applyAlignment="0" applyProtection="0">
      <alignment vertical="top"/>
      <protection locked="0"/>
    </xf>
    <xf numFmtId="0" fontId="9" fillId="3" borderId="0" applyNumberFormat="0" applyBorder="0" applyAlignment="0" applyProtection="0"/>
    <xf numFmtId="0" fontId="10" fillId="16" borderId="2"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17" borderId="0" applyNumberFormat="0" applyBorder="0" applyAlignment="0" applyProtection="0"/>
    <xf numFmtId="0" fontId="7" fillId="0" borderId="0"/>
    <xf numFmtId="0" fontId="33" fillId="0" borderId="0"/>
    <xf numFmtId="0" fontId="34" fillId="0" borderId="0" applyAlignment="0">
      <alignment vertical="top" wrapText="1"/>
      <protection locked="0"/>
    </xf>
    <xf numFmtId="0" fontId="36" fillId="0" borderId="0" applyAlignment="0">
      <alignment vertical="top" wrapText="1"/>
      <protection locked="0"/>
    </xf>
    <xf numFmtId="0" fontId="16" fillId="0" borderId="0"/>
    <xf numFmtId="0" fontId="16" fillId="18" borderId="6" applyNumberFormat="0" applyAlignment="0" applyProtection="0"/>
    <xf numFmtId="0" fontId="17" fillId="0" borderId="7" applyNumberFormat="0" applyFill="0" applyAlignment="0" applyProtection="0"/>
    <xf numFmtId="0" fontId="18" fillId="4" borderId="0" applyNumberFormat="0" applyBorder="0" applyAlignment="0" applyProtection="0"/>
    <xf numFmtId="0" fontId="19" fillId="0" borderId="0" applyNumberFormat="0" applyFill="0" applyBorder="0" applyAlignment="0" applyProtection="0"/>
    <xf numFmtId="0" fontId="20" fillId="7" borderId="8" applyNumberFormat="0" applyAlignment="0" applyProtection="0"/>
    <xf numFmtId="0" fontId="21" fillId="19" borderId="8" applyNumberFormat="0" applyAlignment="0" applyProtection="0"/>
    <xf numFmtId="0" fontId="22" fillId="19" borderId="9" applyNumberFormat="0" applyAlignment="0" applyProtection="0"/>
    <xf numFmtId="0" fontId="23" fillId="0" borderId="0" applyNumberFormat="0" applyFill="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23" borderId="0" applyNumberFormat="0" applyBorder="0" applyAlignment="0" applyProtection="0"/>
    <xf numFmtId="0" fontId="3" fillId="0" borderId="0"/>
    <xf numFmtId="49" fontId="41" fillId="0" borderId="35">
      <alignment horizontal="left" vertical="center" wrapText="1"/>
    </xf>
    <xf numFmtId="167" fontId="41" fillId="0" borderId="36">
      <alignment horizontal="left" vertical="center" wrapText="1"/>
    </xf>
    <xf numFmtId="0" fontId="42" fillId="0" borderId="36">
      <alignment horizontal="center" vertical="center"/>
    </xf>
    <xf numFmtId="49" fontId="42" fillId="0" borderId="36">
      <alignment horizontal="center" vertical="center"/>
    </xf>
    <xf numFmtId="166" fontId="43" fillId="0" borderId="36">
      <alignment horizontal="right" vertical="center"/>
    </xf>
    <xf numFmtId="0" fontId="2" fillId="0" borderId="0"/>
    <xf numFmtId="0" fontId="1" fillId="0" borderId="0"/>
    <xf numFmtId="0" fontId="44" fillId="0" borderId="0" applyNumberFormat="0" applyFont="0" applyFill="0" applyBorder="0" applyAlignment="0" applyProtection="0"/>
    <xf numFmtId="0" fontId="50" fillId="0" borderId="0"/>
  </cellStyleXfs>
  <cellXfs count="364">
    <xf numFmtId="0" fontId="0" fillId="0" borderId="0" xfId="0" applyAlignment="1">
      <alignment vertical="center"/>
    </xf>
    <xf numFmtId="0" fontId="16" fillId="0" borderId="0" xfId="35"/>
    <xf numFmtId="0" fontId="24" fillId="0" borderId="0" xfId="35" applyFont="1"/>
    <xf numFmtId="0" fontId="24" fillId="0" borderId="0" xfId="35" applyFont="1" applyAlignment="1">
      <alignment horizontal="left" indent="1"/>
    </xf>
    <xf numFmtId="0" fontId="25" fillId="0" borderId="0" xfId="35" applyFont="1" applyAlignment="1">
      <alignment horizontal="left" wrapText="1"/>
    </xf>
    <xf numFmtId="0" fontId="25" fillId="0" borderId="0" xfId="35" applyFont="1" applyAlignment="1">
      <alignment horizontal="left" indent="1"/>
    </xf>
    <xf numFmtId="0" fontId="26" fillId="0" borderId="0" xfId="35" applyFont="1" applyAlignment="1">
      <alignment horizontal="left"/>
    </xf>
    <xf numFmtId="0" fontId="26" fillId="0" borderId="0" xfId="35" applyFont="1" applyAlignment="1">
      <alignment horizontal="left" wrapText="1"/>
    </xf>
    <xf numFmtId="0" fontId="16" fillId="0" borderId="11" xfId="35" applyBorder="1"/>
    <xf numFmtId="0" fontId="28" fillId="0" borderId="10" xfId="35" applyFont="1" applyBorder="1" applyAlignment="1">
      <alignment horizontal="center"/>
    </xf>
    <xf numFmtId="0" fontId="28" fillId="0" borderId="10" xfId="35" applyFont="1" applyBorder="1" applyAlignment="1">
      <alignment horizontal="left" indent="1"/>
    </xf>
    <xf numFmtId="0" fontId="28" fillId="0" borderId="10" xfId="35" applyFont="1" applyBorder="1" applyAlignment="1">
      <alignment horizontal="left"/>
    </xf>
    <xf numFmtId="0" fontId="27" fillId="0" borderId="10" xfId="35" applyFont="1" applyBorder="1" applyAlignment="1">
      <alignment horizontal="left" indent="1"/>
    </xf>
    <xf numFmtId="0" fontId="27" fillId="0" borderId="10" xfId="35" applyFont="1" applyBorder="1" applyAlignment="1">
      <alignment horizontal="center"/>
    </xf>
    <xf numFmtId="0" fontId="30" fillId="0" borderId="10" xfId="35" applyFont="1" applyBorder="1" applyAlignment="1">
      <alignment horizontal="center"/>
    </xf>
    <xf numFmtId="0" fontId="38" fillId="0" borderId="0" xfId="35" applyFont="1" applyAlignment="1">
      <alignment horizontal="left"/>
    </xf>
    <xf numFmtId="0" fontId="39" fillId="0" borderId="0" xfId="35" applyFont="1"/>
    <xf numFmtId="0" fontId="25" fillId="24" borderId="13" xfId="35" applyFont="1" applyFill="1" applyBorder="1" applyAlignment="1">
      <alignment horizontal="left" vertical="center" indent="1"/>
    </xf>
    <xf numFmtId="0" fontId="28" fillId="24" borderId="13" xfId="35" applyFont="1" applyFill="1" applyBorder="1" applyAlignment="1">
      <alignment horizontal="left" vertical="center" indent="1"/>
    </xf>
    <xf numFmtId="4" fontId="25" fillId="24" borderId="13" xfId="35" applyNumberFormat="1" applyFont="1" applyFill="1" applyBorder="1" applyAlignment="1">
      <alignment horizontal="center" vertical="center"/>
    </xf>
    <xf numFmtId="4" fontId="28" fillId="24" borderId="13" xfId="35" applyNumberFormat="1" applyFont="1" applyFill="1" applyBorder="1" applyAlignment="1">
      <alignment horizontal="center" vertical="center"/>
    </xf>
    <xf numFmtId="0" fontId="25" fillId="0" borderId="25" xfId="35" applyFont="1" applyBorder="1" applyAlignment="1">
      <alignment horizontal="left" vertical="center" wrapText="1" indent="1"/>
    </xf>
    <xf numFmtId="0" fontId="25" fillId="0" borderId="26" xfId="35" applyFont="1" applyBorder="1" applyAlignment="1">
      <alignment horizontal="left" vertical="center" wrapText="1" indent="1"/>
    </xf>
    <xf numFmtId="0" fontId="25" fillId="0" borderId="27" xfId="35" applyFont="1" applyBorder="1" applyAlignment="1">
      <alignment horizontal="left" vertical="center" wrapText="1" indent="1"/>
    </xf>
    <xf numFmtId="0" fontId="16" fillId="0" borderId="28" xfId="35" applyBorder="1"/>
    <xf numFmtId="0" fontId="28" fillId="0" borderId="29" xfId="35" applyFont="1" applyBorder="1" applyAlignment="1">
      <alignment horizontal="left"/>
    </xf>
    <xf numFmtId="164" fontId="29" fillId="0" borderId="29" xfId="35" applyNumberFormat="1" applyFont="1" applyBorder="1" applyAlignment="1">
      <alignment horizontal="right"/>
    </xf>
    <xf numFmtId="0" fontId="28" fillId="0" borderId="29" xfId="35" applyFont="1" applyBorder="1" applyAlignment="1">
      <alignment horizontal="right" indent="1"/>
    </xf>
    <xf numFmtId="0" fontId="31" fillId="0" borderId="29" xfId="35" applyFont="1" applyBorder="1" applyAlignment="1">
      <alignment horizontal="right" indent="1"/>
    </xf>
    <xf numFmtId="4" fontId="28" fillId="24" borderId="31" xfId="35" applyNumberFormat="1" applyFont="1" applyFill="1" applyBorder="1" applyAlignment="1">
      <alignment horizontal="center" vertical="center"/>
    </xf>
    <xf numFmtId="0" fontId="28" fillId="0" borderId="28" xfId="35" applyFont="1" applyBorder="1" applyAlignment="1">
      <alignment horizontal="left" vertical="center" indent="1"/>
    </xf>
    <xf numFmtId="0" fontId="40" fillId="0" borderId="11" xfId="35" applyFont="1" applyBorder="1" applyAlignment="1">
      <alignment horizontal="left" vertical="center" indent="3"/>
    </xf>
    <xf numFmtId="49" fontId="25" fillId="26" borderId="28" xfId="35" applyNumberFormat="1" applyFont="1" applyFill="1" applyBorder="1" applyAlignment="1">
      <alignment horizontal="left" vertical="center" indent="1"/>
    </xf>
    <xf numFmtId="0" fontId="25" fillId="26" borderId="12" xfId="35" applyFont="1" applyFill="1" applyBorder="1" applyAlignment="1">
      <alignment horizontal="left" vertical="center" indent="1"/>
    </xf>
    <xf numFmtId="0" fontId="25" fillId="26" borderId="11" xfId="35" applyFont="1" applyFill="1" applyBorder="1" applyAlignment="1">
      <alignment horizontal="left" vertical="center" indent="1"/>
    </xf>
    <xf numFmtId="0" fontId="25" fillId="26" borderId="10" xfId="35" applyFont="1" applyFill="1" applyBorder="1" applyAlignment="1">
      <alignment horizontal="left" vertical="center" indent="1"/>
    </xf>
    <xf numFmtId="0" fontId="28" fillId="26" borderId="14" xfId="35" applyFont="1" applyFill="1" applyBorder="1" applyAlignment="1">
      <alignment horizontal="left" vertical="center" indent="1"/>
    </xf>
    <xf numFmtId="165" fontId="25" fillId="27" borderId="11" xfId="35" applyNumberFormat="1" applyFont="1" applyFill="1" applyBorder="1" applyAlignment="1">
      <alignment horizontal="center" vertical="center"/>
    </xf>
    <xf numFmtId="165" fontId="25" fillId="26" borderId="11" xfId="35" applyNumberFormat="1" applyFont="1" applyFill="1" applyBorder="1" applyAlignment="1">
      <alignment horizontal="center" vertical="center"/>
    </xf>
    <xf numFmtId="165" fontId="25" fillId="26" borderId="31" xfId="35" applyNumberFormat="1" applyFont="1" applyFill="1" applyBorder="1" applyAlignment="1">
      <alignment horizontal="center" vertical="center"/>
    </xf>
    <xf numFmtId="0" fontId="25" fillId="26" borderId="28" xfId="35" applyFont="1" applyFill="1" applyBorder="1" applyAlignment="1">
      <alignment horizontal="left" vertical="center" indent="1"/>
    </xf>
    <xf numFmtId="165" fontId="25" fillId="25" borderId="10" xfId="35" applyNumberFormat="1" applyFont="1" applyFill="1" applyBorder="1" applyAlignment="1">
      <alignment horizontal="left" vertical="center" indent="3"/>
    </xf>
    <xf numFmtId="165" fontId="25" fillId="0" borderId="14" xfId="35" applyNumberFormat="1" applyFont="1" applyBorder="1" applyAlignment="1">
      <alignment horizontal="center" vertical="center"/>
    </xf>
    <xf numFmtId="165" fontId="25" fillId="0" borderId="12" xfId="35" applyNumberFormat="1" applyFont="1" applyBorder="1" applyAlignment="1">
      <alignment horizontal="center" vertical="center"/>
    </xf>
    <xf numFmtId="165" fontId="25" fillId="0" borderId="29" xfId="35" applyNumberFormat="1" applyFont="1" applyBorder="1" applyAlignment="1">
      <alignment horizontal="left" vertical="center" indent="3"/>
    </xf>
    <xf numFmtId="0" fontId="40" fillId="0" borderId="12" xfId="35" applyFont="1" applyBorder="1" applyAlignment="1">
      <alignment horizontal="left" vertical="center" indent="1"/>
    </xf>
    <xf numFmtId="0" fontId="40" fillId="0" borderId="10" xfId="35" applyFont="1" applyBorder="1" applyAlignment="1">
      <alignment horizontal="left" vertical="center" indent="1"/>
    </xf>
    <xf numFmtId="165" fontId="25" fillId="24" borderId="15" xfId="35" applyNumberFormat="1" applyFont="1" applyFill="1" applyBorder="1" applyAlignment="1">
      <alignment horizontal="center" vertical="center"/>
    </xf>
    <xf numFmtId="49" fontId="24" fillId="24" borderId="30" xfId="35" applyNumberFormat="1" applyFont="1" applyFill="1" applyBorder="1" applyAlignment="1">
      <alignment horizontal="left" vertical="center" indent="1"/>
    </xf>
    <xf numFmtId="49" fontId="32" fillId="24" borderId="37" xfId="35" applyNumberFormat="1" applyFont="1" applyFill="1" applyBorder="1" applyAlignment="1">
      <alignment horizontal="left" vertical="center" indent="1"/>
    </xf>
    <xf numFmtId="0" fontId="25" fillId="24" borderId="38" xfId="35" applyFont="1" applyFill="1" applyBorder="1" applyAlignment="1">
      <alignment horizontal="left" vertical="center" indent="1"/>
    </xf>
    <xf numFmtId="0" fontId="28" fillId="24" borderId="39" xfId="35" applyFont="1" applyFill="1" applyBorder="1" applyAlignment="1">
      <alignment horizontal="left" vertical="center" indent="1"/>
    </xf>
    <xf numFmtId="165" fontId="25" fillId="29" borderId="15" xfId="35" applyNumberFormat="1" applyFont="1" applyFill="1" applyBorder="1" applyAlignment="1">
      <alignment horizontal="center" vertical="center"/>
    </xf>
    <xf numFmtId="165" fontId="25" fillId="29" borderId="32" xfId="35" applyNumberFormat="1" applyFont="1" applyFill="1" applyBorder="1" applyAlignment="1">
      <alignment horizontal="center" vertical="center"/>
    </xf>
    <xf numFmtId="165" fontId="25" fillId="29" borderId="33" xfId="35" applyNumberFormat="1" applyFont="1" applyFill="1" applyBorder="1" applyAlignment="1">
      <alignment horizontal="center" vertical="center"/>
    </xf>
    <xf numFmtId="0" fontId="46" fillId="0" borderId="0" xfId="20" applyFont="1" applyAlignment="1" applyProtection="1">
      <alignment horizontal="left" wrapText="1"/>
    </xf>
    <xf numFmtId="0" fontId="45" fillId="0" borderId="0" xfId="35" applyFont="1" applyAlignment="1">
      <alignment horizontal="left" wrapText="1"/>
    </xf>
    <xf numFmtId="0" fontId="28" fillId="0" borderId="0" xfId="35" applyFont="1" applyAlignment="1">
      <alignment horizontal="left" indent="1"/>
    </xf>
    <xf numFmtId="14" fontId="28" fillId="0" borderId="0" xfId="35" applyNumberFormat="1" applyFont="1" applyAlignment="1">
      <alignment horizontal="left" indent="1"/>
    </xf>
    <xf numFmtId="0" fontId="25" fillId="30" borderId="28" xfId="35" applyFont="1" applyFill="1" applyBorder="1" applyAlignment="1">
      <alignment horizontal="left" vertical="center" indent="1"/>
    </xf>
    <xf numFmtId="0" fontId="25" fillId="30" borderId="12" xfId="35" applyFont="1" applyFill="1" applyBorder="1" applyAlignment="1">
      <alignment horizontal="left" vertical="center" indent="1"/>
    </xf>
    <xf numFmtId="0" fontId="25" fillId="30" borderId="11" xfId="35" applyFont="1" applyFill="1" applyBorder="1" applyAlignment="1">
      <alignment horizontal="left" vertical="center" indent="1"/>
    </xf>
    <xf numFmtId="0" fontId="25" fillId="30" borderId="10" xfId="35" applyFont="1" applyFill="1" applyBorder="1" applyAlignment="1">
      <alignment horizontal="left" vertical="center" indent="1"/>
    </xf>
    <xf numFmtId="165" fontId="25" fillId="30" borderId="11" xfId="35" applyNumberFormat="1" applyFont="1" applyFill="1" applyBorder="1" applyAlignment="1">
      <alignment horizontal="center" vertical="center"/>
    </xf>
    <xf numFmtId="165" fontId="25" fillId="30" borderId="31" xfId="35" applyNumberFormat="1" applyFont="1" applyFill="1" applyBorder="1" applyAlignment="1">
      <alignment horizontal="center" vertical="center"/>
    </xf>
    <xf numFmtId="0" fontId="28" fillId="30" borderId="14" xfId="35" applyFont="1" applyFill="1" applyBorder="1" applyAlignment="1">
      <alignment horizontal="left" vertical="center" indent="1"/>
    </xf>
    <xf numFmtId="0" fontId="50" fillId="0" borderId="0" xfId="59"/>
    <xf numFmtId="4" fontId="52" fillId="31" borderId="0" xfId="59" applyNumberFormat="1" applyFont="1" applyFill="1" applyAlignment="1">
      <alignment horizontal="right" vertical="center"/>
    </xf>
    <xf numFmtId="0" fontId="53" fillId="0" borderId="41" xfId="59" applyFont="1" applyBorder="1" applyAlignment="1">
      <alignment horizontal="left" vertical="center"/>
    </xf>
    <xf numFmtId="0" fontId="53" fillId="0" borderId="0" xfId="59" applyFont="1" applyAlignment="1">
      <alignment horizontal="left" vertical="center"/>
    </xf>
    <xf numFmtId="0" fontId="53" fillId="0" borderId="0" xfId="59" applyFont="1" applyAlignment="1">
      <alignment horizontal="left" vertical="center" wrapText="1"/>
    </xf>
    <xf numFmtId="0" fontId="52" fillId="31" borderId="0" xfId="59" applyFont="1" applyFill="1" applyAlignment="1">
      <alignment horizontal="right" vertical="center"/>
    </xf>
    <xf numFmtId="0" fontId="52" fillId="0" borderId="0" xfId="59" applyFont="1" applyAlignment="1">
      <alignment horizontal="right" vertical="center"/>
    </xf>
    <xf numFmtId="0" fontId="53" fillId="31" borderId="41" xfId="59" applyFont="1" applyFill="1" applyBorder="1" applyAlignment="1">
      <alignment horizontal="left" vertical="center"/>
    </xf>
    <xf numFmtId="0" fontId="52" fillId="31" borderId="0" xfId="59" applyFont="1" applyFill="1" applyAlignment="1">
      <alignment horizontal="left" vertical="center"/>
    </xf>
    <xf numFmtId="0" fontId="53" fillId="31" borderId="0" xfId="59" applyFont="1" applyFill="1" applyAlignment="1">
      <alignment horizontal="left" vertical="center"/>
    </xf>
    <xf numFmtId="0" fontId="52" fillId="31" borderId="42" xfId="59" applyFont="1" applyFill="1" applyBorder="1" applyAlignment="1">
      <alignment horizontal="right" vertical="center"/>
    </xf>
    <xf numFmtId="4" fontId="53" fillId="0" borderId="0" xfId="59" applyNumberFormat="1" applyFont="1" applyAlignment="1">
      <alignment horizontal="right" vertical="center"/>
    </xf>
    <xf numFmtId="0" fontId="53" fillId="0" borderId="42" xfId="59" applyFont="1" applyBorder="1" applyAlignment="1">
      <alignment horizontal="right" vertical="center"/>
    </xf>
    <xf numFmtId="0" fontId="53" fillId="0" borderId="0" xfId="59" applyFont="1" applyAlignment="1">
      <alignment horizontal="right" vertical="center"/>
    </xf>
    <xf numFmtId="0" fontId="50" fillId="0" borderId="41" xfId="59" applyBorder="1"/>
    <xf numFmtId="0" fontId="54" fillId="0" borderId="0" xfId="59" applyFont="1" applyAlignment="1">
      <alignment horizontal="right" vertical="center"/>
    </xf>
    <xf numFmtId="0" fontId="50" fillId="0" borderId="43" xfId="59" applyBorder="1"/>
    <xf numFmtId="0" fontId="54" fillId="0" borderId="44" xfId="59" applyFont="1" applyBorder="1" applyAlignment="1">
      <alignment horizontal="right" vertical="center"/>
    </xf>
    <xf numFmtId="4" fontId="52" fillId="0" borderId="0" xfId="59" applyNumberFormat="1" applyFont="1" applyAlignment="1">
      <alignment horizontal="right" vertical="center"/>
    </xf>
    <xf numFmtId="0" fontId="55" fillId="0" borderId="0" xfId="59" applyFont="1" applyAlignment="1">
      <alignment horizontal="left" vertical="center"/>
    </xf>
    <xf numFmtId="0" fontId="53" fillId="0" borderId="42" xfId="59" applyFont="1" applyBorder="1" applyAlignment="1">
      <alignment horizontal="left" vertical="center"/>
    </xf>
    <xf numFmtId="0" fontId="52" fillId="0" borderId="48" xfId="59" applyFont="1" applyBorder="1" applyAlignment="1">
      <alignment horizontal="left" vertical="center"/>
    </xf>
    <xf numFmtId="0" fontId="52" fillId="0" borderId="42" xfId="59" applyFont="1" applyBorder="1" applyAlignment="1">
      <alignment horizontal="left" vertical="center"/>
    </xf>
    <xf numFmtId="0" fontId="52" fillId="0" borderId="42" xfId="59" applyFont="1" applyBorder="1" applyAlignment="1">
      <alignment horizontal="center" vertical="center"/>
    </xf>
    <xf numFmtId="0" fontId="52" fillId="0" borderId="0" xfId="59" applyFont="1" applyAlignment="1">
      <alignment horizontal="center" vertical="center"/>
    </xf>
    <xf numFmtId="0" fontId="52" fillId="0" borderId="51" xfId="59" applyFont="1" applyBorder="1" applyAlignment="1">
      <alignment horizontal="center" vertical="center"/>
    </xf>
    <xf numFmtId="0" fontId="53" fillId="0" borderId="46" xfId="59" applyFont="1" applyBorder="1" applyAlignment="1">
      <alignment horizontal="left" vertical="center"/>
    </xf>
    <xf numFmtId="0" fontId="53" fillId="0" borderId="52" xfId="59" applyFont="1" applyBorder="1" applyAlignment="1">
      <alignment horizontal="left" vertical="center"/>
    </xf>
    <xf numFmtId="0" fontId="53" fillId="0" borderId="53" xfId="59" applyFont="1" applyBorder="1" applyAlignment="1">
      <alignment horizontal="left" vertical="center"/>
    </xf>
    <xf numFmtId="0" fontId="53" fillId="0" borderId="48" xfId="59" applyFont="1" applyBorder="1" applyAlignment="1">
      <alignment horizontal="left" vertical="center"/>
    </xf>
    <xf numFmtId="0" fontId="52" fillId="0" borderId="55" xfId="59" applyFont="1" applyBorder="1" applyAlignment="1">
      <alignment horizontal="center" vertical="center"/>
    </xf>
    <xf numFmtId="0" fontId="53" fillId="31" borderId="56" xfId="59" applyFont="1" applyFill="1" applyBorder="1" applyAlignment="1">
      <alignment horizontal="left" vertical="center"/>
    </xf>
    <xf numFmtId="0" fontId="52" fillId="31" borderId="57" xfId="59" applyFont="1" applyFill="1" applyBorder="1" applyAlignment="1">
      <alignment horizontal="left" vertical="center"/>
    </xf>
    <xf numFmtId="0" fontId="53" fillId="31" borderId="57" xfId="59" applyFont="1" applyFill="1" applyBorder="1" applyAlignment="1">
      <alignment horizontal="left" vertical="center"/>
    </xf>
    <xf numFmtId="4" fontId="52" fillId="31" borderId="57" xfId="59" applyNumberFormat="1" applyFont="1" applyFill="1" applyBorder="1" applyAlignment="1">
      <alignment horizontal="right" vertical="center"/>
    </xf>
    <xf numFmtId="0" fontId="52" fillId="31" borderId="57" xfId="59" applyFont="1" applyFill="1" applyBorder="1" applyAlignment="1">
      <alignment horizontal="right" vertical="center"/>
    </xf>
    <xf numFmtId="0" fontId="52" fillId="31" borderId="58" xfId="59" applyFont="1" applyFill="1" applyBorder="1" applyAlignment="1">
      <alignment horizontal="right" vertical="center"/>
    </xf>
    <xf numFmtId="0" fontId="53" fillId="0" borderId="47" xfId="59" applyFont="1" applyBorder="1" applyAlignment="1">
      <alignment horizontal="right" vertical="center"/>
    </xf>
    <xf numFmtId="0" fontId="50" fillId="0" borderId="46" xfId="59" applyBorder="1"/>
    <xf numFmtId="0" fontId="53" fillId="31" borderId="46" xfId="59" applyFont="1" applyFill="1" applyBorder="1" applyAlignment="1">
      <alignment horizontal="left" vertical="center"/>
    </xf>
    <xf numFmtId="0" fontId="52" fillId="31" borderId="47" xfId="59" applyFont="1" applyFill="1" applyBorder="1" applyAlignment="1">
      <alignment horizontal="right" vertical="center"/>
    </xf>
    <xf numFmtId="0" fontId="50" fillId="0" borderId="52" xfId="59" applyBorder="1"/>
    <xf numFmtId="0" fontId="54" fillId="0" borderId="53" xfId="59" applyFont="1" applyBorder="1" applyAlignment="1">
      <alignment horizontal="right" vertical="center"/>
    </xf>
    <xf numFmtId="0" fontId="53" fillId="0" borderId="57" xfId="59" applyFont="1" applyBorder="1" applyAlignment="1">
      <alignment horizontal="left" vertical="center"/>
    </xf>
    <xf numFmtId="0" fontId="52" fillId="0" borderId="61" xfId="59" applyFont="1" applyBorder="1" applyAlignment="1">
      <alignment horizontal="left" vertical="center"/>
    </xf>
    <xf numFmtId="0" fontId="52" fillId="0" borderId="62" xfId="59" applyFont="1" applyBorder="1" applyAlignment="1">
      <alignment horizontal="left" vertical="center"/>
    </xf>
    <xf numFmtId="0" fontId="52" fillId="0" borderId="62" xfId="59" applyFont="1" applyBorder="1" applyAlignment="1">
      <alignment horizontal="center" vertical="center"/>
    </xf>
    <xf numFmtId="0" fontId="52" fillId="0" borderId="57" xfId="59" applyFont="1" applyBorder="1" applyAlignment="1">
      <alignment horizontal="center" vertical="center"/>
    </xf>
    <xf numFmtId="0" fontId="52" fillId="0" borderId="66" xfId="59" applyFont="1" applyBorder="1" applyAlignment="1">
      <alignment horizontal="center" vertical="center"/>
    </xf>
    <xf numFmtId="0" fontId="53" fillId="0" borderId="67" xfId="59" applyFont="1" applyBorder="1" applyAlignment="1">
      <alignment horizontal="left" vertical="center"/>
    </xf>
    <xf numFmtId="0" fontId="53" fillId="0" borderId="68" xfId="59" applyFont="1" applyBorder="1" applyAlignment="1">
      <alignment horizontal="left" vertical="center"/>
    </xf>
    <xf numFmtId="0" fontId="52" fillId="0" borderId="53" xfId="59" applyFont="1" applyBorder="1" applyAlignment="1">
      <alignment horizontal="center" vertical="center"/>
    </xf>
    <xf numFmtId="0" fontId="52" fillId="0" borderId="69" xfId="59" applyFont="1" applyBorder="1" applyAlignment="1">
      <alignment horizontal="center" vertical="center"/>
    </xf>
    <xf numFmtId="0" fontId="52" fillId="0" borderId="68" xfId="59" applyFont="1" applyBorder="1" applyAlignment="1">
      <alignment horizontal="center" vertical="center"/>
    </xf>
    <xf numFmtId="0" fontId="52" fillId="0" borderId="70" xfId="59" applyFont="1" applyBorder="1" applyAlignment="1">
      <alignment horizontal="center" vertical="center"/>
    </xf>
    <xf numFmtId="0" fontId="52" fillId="0" borderId="71" xfId="59" applyFont="1" applyBorder="1" applyAlignment="1">
      <alignment horizontal="center" vertical="center"/>
    </xf>
    <xf numFmtId="0" fontId="53" fillId="0" borderId="56" xfId="59" applyFont="1" applyBorder="1" applyAlignment="1">
      <alignment horizontal="left" vertical="center"/>
    </xf>
    <xf numFmtId="4" fontId="53" fillId="0" borderId="57" xfId="59" applyNumberFormat="1" applyFont="1" applyBorder="1" applyAlignment="1">
      <alignment horizontal="right" vertical="center"/>
    </xf>
    <xf numFmtId="0" fontId="53" fillId="0" borderId="58" xfId="59" applyFont="1" applyBorder="1" applyAlignment="1">
      <alignment horizontal="right" vertical="center"/>
    </xf>
    <xf numFmtId="4" fontId="53" fillId="0" borderId="53" xfId="59" applyNumberFormat="1" applyFont="1" applyBorder="1" applyAlignment="1">
      <alignment horizontal="right" vertical="center"/>
    </xf>
    <xf numFmtId="0" fontId="53" fillId="0" borderId="54" xfId="59" applyFont="1" applyBorder="1" applyAlignment="1">
      <alignment horizontal="right" vertical="center"/>
    </xf>
    <xf numFmtId="0" fontId="58" fillId="0" borderId="0" xfId="0" applyFont="1" applyAlignment="1">
      <alignment vertical="center"/>
    </xf>
    <xf numFmtId="0" fontId="58" fillId="0" borderId="46" xfId="0" applyFont="1" applyBorder="1" applyAlignment="1">
      <alignment horizontal="left" vertical="center"/>
    </xf>
    <xf numFmtId="0" fontId="58" fillId="0" borderId="0" xfId="0" applyFont="1" applyAlignment="1">
      <alignment horizontal="left" vertical="center"/>
    </xf>
    <xf numFmtId="0" fontId="59" fillId="0" borderId="0" xfId="0" applyFont="1" applyAlignment="1">
      <alignment horizontal="left" vertical="center"/>
    </xf>
    <xf numFmtId="0" fontId="58" fillId="0" borderId="47" xfId="0" applyFont="1" applyBorder="1" applyAlignment="1">
      <alignment horizontal="left" vertical="center"/>
    </xf>
    <xf numFmtId="49" fontId="59" fillId="0" borderId="79" xfId="0" applyNumberFormat="1" applyFont="1" applyBorder="1" applyAlignment="1">
      <alignment horizontal="left" vertical="center"/>
    </xf>
    <xf numFmtId="49" fontId="59" fillId="0" borderId="80" xfId="0" applyNumberFormat="1" applyFont="1" applyBorder="1" applyAlignment="1">
      <alignment horizontal="left" vertical="center"/>
    </xf>
    <xf numFmtId="49" fontId="59" fillId="0" borderId="80" xfId="0" applyNumberFormat="1" applyFont="1" applyBorder="1" applyAlignment="1">
      <alignment horizontal="center" vertical="center"/>
    </xf>
    <xf numFmtId="49" fontId="59" fillId="0" borderId="81" xfId="0" applyNumberFormat="1" applyFont="1" applyBorder="1" applyAlignment="1">
      <alignment horizontal="center" vertical="center"/>
    </xf>
    <xf numFmtId="49" fontId="59" fillId="0" borderId="82" xfId="0" applyNumberFormat="1" applyFont="1" applyBorder="1" applyAlignment="1">
      <alignment horizontal="center" vertical="center"/>
    </xf>
    <xf numFmtId="49" fontId="58" fillId="0" borderId="83" xfId="0" applyNumberFormat="1" applyFont="1" applyBorder="1" applyAlignment="1">
      <alignment horizontal="left" vertical="center"/>
    </xf>
    <xf numFmtId="49" fontId="58" fillId="0" borderId="84" xfId="0" applyNumberFormat="1" applyFont="1" applyBorder="1" applyAlignment="1">
      <alignment horizontal="left" vertical="center"/>
    </xf>
    <xf numFmtId="49" fontId="59" fillId="0" borderId="84" xfId="0" applyNumberFormat="1" applyFont="1" applyBorder="1" applyAlignment="1">
      <alignment horizontal="left" vertical="center"/>
    </xf>
    <xf numFmtId="49" fontId="59" fillId="0" borderId="85" xfId="0" applyNumberFormat="1" applyFont="1" applyBorder="1" applyAlignment="1">
      <alignment horizontal="right" vertical="center"/>
    </xf>
    <xf numFmtId="49" fontId="59" fillId="0" borderId="86" xfId="0" applyNumberFormat="1" applyFont="1" applyBorder="1" applyAlignment="1">
      <alignment horizontal="center" vertical="center"/>
    </xf>
    <xf numFmtId="49" fontId="59" fillId="0" borderId="87" xfId="0" applyNumberFormat="1" applyFont="1" applyBorder="1" applyAlignment="1">
      <alignment horizontal="center" vertical="center"/>
    </xf>
    <xf numFmtId="49" fontId="59" fillId="0" borderId="88" xfId="0" applyNumberFormat="1" applyFont="1" applyBorder="1" applyAlignment="1">
      <alignment horizontal="center" vertical="center"/>
    </xf>
    <xf numFmtId="49" fontId="59" fillId="0" borderId="89" xfId="0" applyNumberFormat="1" applyFont="1" applyBorder="1" applyAlignment="1">
      <alignment horizontal="center" vertical="center"/>
    </xf>
    <xf numFmtId="49" fontId="59" fillId="32" borderId="0" xfId="0" applyNumberFormat="1" applyFont="1" applyFill="1" applyAlignment="1">
      <alignment horizontal="right" vertical="center"/>
    </xf>
    <xf numFmtId="49" fontId="58" fillId="32" borderId="77" xfId="0" applyNumberFormat="1" applyFont="1" applyFill="1" applyBorder="1" applyAlignment="1">
      <alignment horizontal="left" vertical="center"/>
    </xf>
    <xf numFmtId="49" fontId="59" fillId="32" borderId="36" xfId="0" applyNumberFormat="1" applyFont="1" applyFill="1" applyBorder="1" applyAlignment="1">
      <alignment horizontal="left" vertical="center"/>
    </xf>
    <xf numFmtId="4" fontId="59" fillId="32" borderId="36" xfId="0" applyNumberFormat="1" applyFont="1" applyFill="1" applyBorder="1" applyAlignment="1">
      <alignment horizontal="right" vertical="center"/>
    </xf>
    <xf numFmtId="49" fontId="59" fillId="32" borderId="36" xfId="0" applyNumberFormat="1" applyFont="1" applyFill="1" applyBorder="1" applyAlignment="1">
      <alignment horizontal="right" vertical="center"/>
    </xf>
    <xf numFmtId="49" fontId="59" fillId="32" borderId="78" xfId="0" applyNumberFormat="1" applyFont="1" applyFill="1" applyBorder="1" applyAlignment="1">
      <alignment horizontal="center" vertical="center"/>
    </xf>
    <xf numFmtId="4" fontId="59" fillId="32" borderId="0" xfId="0" applyNumberFormat="1" applyFont="1" applyFill="1" applyAlignment="1">
      <alignment horizontal="right" vertical="center"/>
    </xf>
    <xf numFmtId="49" fontId="68" fillId="0" borderId="77" xfId="0" applyNumberFormat="1" applyFont="1" applyBorder="1" applyAlignment="1">
      <alignment horizontal="left" vertical="center"/>
    </xf>
    <xf numFmtId="49" fontId="68" fillId="0" borderId="36" xfId="0" applyNumberFormat="1" applyFont="1" applyBorder="1" applyAlignment="1">
      <alignment horizontal="left" vertical="center"/>
    </xf>
    <xf numFmtId="4" fontId="68" fillId="0" borderId="36" xfId="0" applyNumberFormat="1" applyFont="1" applyBorder="1" applyAlignment="1">
      <alignment horizontal="right" vertical="center"/>
    </xf>
    <xf numFmtId="4" fontId="68" fillId="0" borderId="90" xfId="0" applyNumberFormat="1" applyFont="1" applyBorder="1" applyAlignment="1">
      <alignment horizontal="right" vertical="center"/>
    </xf>
    <xf numFmtId="49" fontId="68" fillId="0" borderId="90" xfId="0" applyNumberFormat="1" applyFont="1" applyBorder="1" applyAlignment="1">
      <alignment horizontal="left" vertical="center"/>
    </xf>
    <xf numFmtId="49" fontId="68" fillId="0" borderId="78" xfId="0" applyNumberFormat="1" applyFont="1" applyBorder="1" applyAlignment="1">
      <alignment horizontal="left" vertical="center"/>
    </xf>
    <xf numFmtId="49" fontId="68" fillId="0" borderId="0" xfId="0" applyNumberFormat="1" applyFont="1" applyAlignment="1">
      <alignment horizontal="right" vertical="center"/>
    </xf>
    <xf numFmtId="4" fontId="68" fillId="0" borderId="0" xfId="0" applyNumberFormat="1" applyFont="1" applyAlignment="1">
      <alignment horizontal="right" vertical="center"/>
    </xf>
    <xf numFmtId="4" fontId="58" fillId="0" borderId="0" xfId="0" applyNumberFormat="1" applyFont="1" applyAlignment="1">
      <alignment horizontal="right" vertical="center"/>
    </xf>
    <xf numFmtId="49" fontId="58" fillId="0" borderId="0" xfId="0" applyNumberFormat="1" applyFont="1" applyAlignment="1">
      <alignment horizontal="right" vertical="center"/>
    </xf>
    <xf numFmtId="49" fontId="62" fillId="0" borderId="36" xfId="0" applyNumberFormat="1" applyFont="1" applyBorder="1" applyAlignment="1">
      <alignment horizontal="right" vertical="top"/>
    </xf>
    <xf numFmtId="0" fontId="62" fillId="0" borderId="78" xfId="0" applyFont="1" applyBorder="1" applyAlignment="1">
      <alignment horizontal="left" vertical="top"/>
    </xf>
    <xf numFmtId="49" fontId="68" fillId="0" borderId="36" xfId="0" applyNumberFormat="1" applyFont="1" applyBorder="1" applyAlignment="1">
      <alignment horizontal="left" vertical="center" wrapText="1"/>
    </xf>
    <xf numFmtId="49" fontId="68" fillId="0" borderId="78" xfId="0" applyNumberFormat="1" applyFont="1" applyBorder="1" applyAlignment="1">
      <alignment horizontal="right" vertical="center"/>
    </xf>
    <xf numFmtId="49" fontId="7" fillId="0" borderId="36" xfId="0" applyNumberFormat="1" applyFont="1" applyBorder="1" applyAlignment="1">
      <alignment horizontal="left" vertical="center"/>
    </xf>
    <xf numFmtId="49" fontId="68" fillId="0" borderId="91" xfId="0" applyNumberFormat="1" applyFont="1" applyBorder="1" applyAlignment="1">
      <alignment horizontal="left" vertical="center"/>
    </xf>
    <xf numFmtId="49" fontId="68" fillId="0" borderId="92" xfId="0" applyNumberFormat="1" applyFont="1" applyBorder="1" applyAlignment="1">
      <alignment horizontal="left" vertical="center"/>
    </xf>
    <xf numFmtId="49" fontId="62" fillId="0" borderId="92" xfId="0" applyNumberFormat="1" applyFont="1" applyBorder="1" applyAlignment="1">
      <alignment horizontal="right" vertical="top"/>
    </xf>
    <xf numFmtId="49" fontId="68" fillId="0" borderId="0" xfId="0" applyNumberFormat="1" applyFont="1" applyAlignment="1">
      <alignment horizontal="left" vertical="center"/>
    </xf>
    <xf numFmtId="49" fontId="62" fillId="0" borderId="0" xfId="0" applyNumberFormat="1" applyFont="1" applyAlignment="1">
      <alignment horizontal="right" vertical="top"/>
    </xf>
    <xf numFmtId="0" fontId="62" fillId="0" borderId="0" xfId="0" applyFont="1" applyAlignment="1">
      <alignment horizontal="left" vertical="top" wrapText="1"/>
    </xf>
    <xf numFmtId="0" fontId="62" fillId="0" borderId="0" xfId="0" applyFont="1" applyAlignment="1">
      <alignment horizontal="left" vertical="top"/>
    </xf>
    <xf numFmtId="49" fontId="58" fillId="0" borderId="94" xfId="0" applyNumberFormat="1" applyFont="1" applyBorder="1" applyAlignment="1">
      <alignment horizontal="left" vertical="center"/>
    </xf>
    <xf numFmtId="49" fontId="58" fillId="0" borderId="95" xfId="0" applyNumberFormat="1" applyFont="1" applyBorder="1" applyAlignment="1">
      <alignment horizontal="left" vertical="center"/>
    </xf>
    <xf numFmtId="49" fontId="59" fillId="0" borderId="95" xfId="0" applyNumberFormat="1" applyFont="1" applyBorder="1" applyAlignment="1">
      <alignment horizontal="left" vertical="center"/>
    </xf>
    <xf numFmtId="49" fontId="59" fillId="0" borderId="96" xfId="0" applyNumberFormat="1" applyFont="1" applyBorder="1" applyAlignment="1">
      <alignment horizontal="right" vertical="center"/>
    </xf>
    <xf numFmtId="49" fontId="59" fillId="0" borderId="91" xfId="0" applyNumberFormat="1" applyFont="1" applyBorder="1" applyAlignment="1">
      <alignment horizontal="center" vertical="center"/>
    </xf>
    <xf numFmtId="49" fontId="59" fillId="0" borderId="92" xfId="0" applyNumberFormat="1" applyFont="1" applyBorder="1" applyAlignment="1">
      <alignment horizontal="center" vertical="center"/>
    </xf>
    <xf numFmtId="49" fontId="59" fillId="0" borderId="93" xfId="0" applyNumberFormat="1" applyFont="1" applyBorder="1" applyAlignment="1">
      <alignment horizontal="center" vertical="center"/>
    </xf>
    <xf numFmtId="49" fontId="59" fillId="0" borderId="97" xfId="0" applyNumberFormat="1" applyFont="1" applyBorder="1" applyAlignment="1">
      <alignment horizontal="center" vertical="center"/>
    </xf>
    <xf numFmtId="0" fontId="58" fillId="0" borderId="77" xfId="0" applyFont="1" applyBorder="1" applyAlignment="1">
      <alignment vertical="center"/>
    </xf>
    <xf numFmtId="0" fontId="58" fillId="0" borderId="36" xfId="0" applyFont="1" applyBorder="1" applyAlignment="1">
      <alignment vertical="center"/>
    </xf>
    <xf numFmtId="49" fontId="62" fillId="0" borderId="36" xfId="0" applyNumberFormat="1" applyFont="1" applyBorder="1" applyAlignment="1">
      <alignment horizontal="right" vertical="center"/>
    </xf>
    <xf numFmtId="4" fontId="62" fillId="0" borderId="78" xfId="0" applyNumberFormat="1" applyFont="1" applyBorder="1" applyAlignment="1">
      <alignment horizontal="left" vertical="top" wrapText="1"/>
    </xf>
    <xf numFmtId="0" fontId="62" fillId="0" borderId="78" xfId="0" applyFont="1" applyBorder="1" applyAlignment="1">
      <alignment horizontal="left" vertical="top" wrapText="1"/>
    </xf>
    <xf numFmtId="0" fontId="69" fillId="0" borderId="93" xfId="0" applyFont="1" applyBorder="1" applyAlignment="1">
      <alignment horizontal="left" vertical="top"/>
    </xf>
    <xf numFmtId="4" fontId="62" fillId="0" borderId="0" xfId="0" applyNumberFormat="1" applyFont="1" applyAlignment="1">
      <alignment horizontal="left" vertical="top" wrapText="1"/>
    </xf>
    <xf numFmtId="49" fontId="58" fillId="0" borderId="56" xfId="0" applyNumberFormat="1" applyFont="1" applyBorder="1" applyAlignment="1">
      <alignment horizontal="left" vertical="center"/>
    </xf>
    <xf numFmtId="49" fontId="59" fillId="32" borderId="57" xfId="0" applyNumberFormat="1" applyFont="1" applyFill="1" applyBorder="1" applyAlignment="1">
      <alignment horizontal="left" vertical="center"/>
    </xf>
    <xf numFmtId="4" fontId="59" fillId="32" borderId="57" xfId="0" applyNumberFormat="1" applyFont="1" applyFill="1" applyBorder="1" applyAlignment="1">
      <alignment horizontal="right" vertical="center"/>
    </xf>
    <xf numFmtId="49" fontId="59" fillId="32" borderId="57" xfId="0" applyNumberFormat="1" applyFont="1" applyFill="1" applyBorder="1" applyAlignment="1">
      <alignment horizontal="right" vertical="center"/>
    </xf>
    <xf numFmtId="49" fontId="59" fillId="32" borderId="58" xfId="0" applyNumberFormat="1" applyFont="1" applyFill="1" applyBorder="1" applyAlignment="1">
      <alignment horizontal="center" vertical="center"/>
    </xf>
    <xf numFmtId="0" fontId="70" fillId="0" borderId="78" xfId="0" applyFont="1" applyBorder="1" applyAlignment="1">
      <alignment horizontal="left" vertical="top"/>
    </xf>
    <xf numFmtId="0" fontId="58" fillId="0" borderId="92" xfId="0" applyFont="1" applyBorder="1" applyAlignment="1">
      <alignment vertical="center"/>
    </xf>
    <xf numFmtId="0" fontId="62" fillId="0" borderId="93" xfId="0" applyFont="1" applyBorder="1" applyAlignment="1">
      <alignment horizontal="left" vertical="top" wrapText="1"/>
    </xf>
    <xf numFmtId="49" fontId="68" fillId="0" borderId="78" xfId="0" applyNumberFormat="1" applyFont="1" applyBorder="1" applyAlignment="1">
      <alignment horizontal="left" vertical="center" wrapText="1"/>
    </xf>
    <xf numFmtId="0" fontId="58" fillId="0" borderId="78" xfId="0" applyFont="1" applyBorder="1" applyAlignment="1">
      <alignment vertical="center"/>
    </xf>
    <xf numFmtId="49" fontId="68" fillId="0" borderId="46" xfId="0" applyNumberFormat="1" applyFont="1" applyBorder="1" applyAlignment="1">
      <alignment horizontal="left" vertical="center"/>
    </xf>
    <xf numFmtId="0" fontId="58" fillId="0" borderId="47" xfId="0" applyFont="1" applyBorder="1" applyAlignment="1">
      <alignment vertical="center"/>
    </xf>
    <xf numFmtId="49" fontId="59" fillId="33" borderId="86" xfId="0" applyNumberFormat="1" applyFont="1" applyFill="1" applyBorder="1" applyAlignment="1">
      <alignment horizontal="center" vertical="center"/>
    </xf>
    <xf numFmtId="49" fontId="59" fillId="33" borderId="87" xfId="0" applyNumberFormat="1" applyFont="1" applyFill="1" applyBorder="1" applyAlignment="1">
      <alignment horizontal="center" vertical="center"/>
    </xf>
    <xf numFmtId="49" fontId="59" fillId="33" borderId="88" xfId="0" applyNumberFormat="1" applyFont="1" applyFill="1" applyBorder="1" applyAlignment="1">
      <alignment horizontal="center" vertical="center"/>
    </xf>
    <xf numFmtId="49" fontId="59" fillId="32" borderId="72" xfId="0" applyNumberFormat="1" applyFont="1" applyFill="1" applyBorder="1" applyAlignment="1">
      <alignment vertical="center"/>
    </xf>
    <xf numFmtId="4" fontId="59" fillId="32" borderId="73" xfId="0" applyNumberFormat="1" applyFont="1" applyFill="1" applyBorder="1" applyAlignment="1">
      <alignment vertical="center"/>
    </xf>
    <xf numFmtId="49" fontId="59" fillId="32" borderId="74" xfId="0" applyNumberFormat="1" applyFont="1" applyFill="1" applyBorder="1" applyAlignment="1">
      <alignment vertical="center"/>
    </xf>
    <xf numFmtId="4" fontId="71" fillId="32" borderId="15" xfId="0" applyNumberFormat="1" applyFont="1" applyFill="1" applyBorder="1" applyAlignment="1">
      <alignment horizontal="right" vertical="center"/>
    </xf>
    <xf numFmtId="49" fontId="59" fillId="32" borderId="103" xfId="0" applyNumberFormat="1" applyFont="1" applyFill="1" applyBorder="1" applyAlignment="1">
      <alignment horizontal="right" vertical="center"/>
    </xf>
    <xf numFmtId="4" fontId="59" fillId="32" borderId="104" xfId="0" applyNumberFormat="1" applyFont="1" applyFill="1" applyBorder="1" applyAlignment="1">
      <alignment horizontal="right" vertical="center"/>
    </xf>
    <xf numFmtId="49" fontId="59" fillId="32" borderId="106" xfId="0" applyNumberFormat="1" applyFont="1" applyFill="1" applyBorder="1" applyAlignment="1">
      <alignment horizontal="right" vertical="center"/>
    </xf>
    <xf numFmtId="0" fontId="59" fillId="0" borderId="0" xfId="0" applyFont="1" applyAlignment="1">
      <alignment vertical="center"/>
    </xf>
    <xf numFmtId="49" fontId="59" fillId="0" borderId="0" xfId="0" applyNumberFormat="1" applyFont="1" applyAlignment="1">
      <alignment horizontal="left" vertical="center"/>
    </xf>
    <xf numFmtId="9" fontId="59" fillId="0" borderId="0" xfId="0" applyNumberFormat="1" applyFont="1" applyAlignment="1">
      <alignment horizontal="left" vertical="center"/>
    </xf>
    <xf numFmtId="4" fontId="59" fillId="0" borderId="0" xfId="0" applyNumberFormat="1" applyFont="1" applyAlignment="1">
      <alignment horizontal="right" vertical="center"/>
    </xf>
    <xf numFmtId="49" fontId="59" fillId="0" borderId="0" xfId="0" applyNumberFormat="1" applyFont="1" applyAlignment="1">
      <alignment horizontal="right" vertical="center"/>
    </xf>
    <xf numFmtId="4" fontId="68" fillId="34" borderId="36" xfId="0" applyNumberFormat="1" applyFont="1" applyFill="1" applyBorder="1" applyAlignment="1" applyProtection="1">
      <alignment horizontal="right" vertical="center"/>
      <protection locked="0"/>
    </xf>
    <xf numFmtId="4" fontId="7" fillId="34" borderId="36" xfId="0" applyNumberFormat="1" applyFont="1" applyFill="1" applyBorder="1" applyAlignment="1" applyProtection="1">
      <alignment horizontal="right" vertical="center"/>
      <protection locked="0"/>
    </xf>
    <xf numFmtId="4" fontId="7" fillId="34" borderId="0" xfId="0" applyNumberFormat="1" applyFont="1" applyFill="1" applyAlignment="1" applyProtection="1">
      <alignment horizontal="right" vertical="center"/>
      <protection locked="0"/>
    </xf>
    <xf numFmtId="4" fontId="7" fillId="34" borderId="57" xfId="0" applyNumberFormat="1" applyFont="1" applyFill="1" applyBorder="1" applyAlignment="1" applyProtection="1">
      <alignment horizontal="right" vertical="center"/>
      <protection locked="0"/>
    </xf>
    <xf numFmtId="4" fontId="7" fillId="34" borderId="53" xfId="0" applyNumberFormat="1" applyFont="1" applyFill="1" applyBorder="1" applyAlignment="1" applyProtection="1">
      <alignment horizontal="right" vertical="center"/>
      <protection locked="0"/>
    </xf>
    <xf numFmtId="0" fontId="16" fillId="0" borderId="0" xfId="35" applyAlignment="1">
      <alignment horizontal="left" indent="1"/>
    </xf>
    <xf numFmtId="0" fontId="25" fillId="25" borderId="17" xfId="35" applyFont="1" applyFill="1" applyBorder="1" applyAlignment="1">
      <alignment horizontal="center" vertical="center" wrapText="1"/>
    </xf>
    <xf numFmtId="0" fontId="25" fillId="25" borderId="18" xfId="35" applyFont="1" applyFill="1" applyBorder="1" applyAlignment="1">
      <alignment horizontal="center" vertical="center" wrapText="1"/>
    </xf>
    <xf numFmtId="0" fontId="25" fillId="25" borderId="19" xfId="35" applyFont="1" applyFill="1" applyBorder="1" applyAlignment="1">
      <alignment horizontal="center" vertical="center" wrapText="1"/>
    </xf>
    <xf numFmtId="0" fontId="25" fillId="25" borderId="20" xfId="35" applyFont="1" applyFill="1" applyBorder="1" applyAlignment="1">
      <alignment horizontal="center" vertical="center" wrapText="1"/>
    </xf>
    <xf numFmtId="0" fontId="25" fillId="25" borderId="0" xfId="35" applyFont="1" applyFill="1" applyAlignment="1">
      <alignment horizontal="center" vertical="center" wrapText="1"/>
    </xf>
    <xf numFmtId="0" fontId="25" fillId="25" borderId="21" xfId="35" applyFont="1" applyFill="1" applyBorder="1" applyAlignment="1">
      <alignment horizontal="center" vertical="center" wrapText="1"/>
    </xf>
    <xf numFmtId="0" fontId="25" fillId="25" borderId="22" xfId="35" applyFont="1" applyFill="1" applyBorder="1" applyAlignment="1">
      <alignment horizontal="center" vertical="center" wrapText="1"/>
    </xf>
    <xf numFmtId="0" fontId="25" fillId="25" borderId="23" xfId="35" applyFont="1" applyFill="1" applyBorder="1" applyAlignment="1">
      <alignment horizontal="center" vertical="center" wrapText="1"/>
    </xf>
    <xf numFmtId="0" fontId="25" fillId="25" borderId="24" xfId="35" applyFont="1" applyFill="1" applyBorder="1" applyAlignment="1">
      <alignment horizontal="center" vertical="center" wrapText="1"/>
    </xf>
    <xf numFmtId="0" fontId="49" fillId="0" borderId="0" xfId="35" applyFont="1" applyAlignment="1">
      <alignment horizontal="left" wrapText="1" indent="1"/>
    </xf>
    <xf numFmtId="0" fontId="25" fillId="0" borderId="0" xfId="35" applyFont="1" applyAlignment="1">
      <alignment horizontal="left" wrapText="1" indent="1"/>
    </xf>
    <xf numFmtId="0" fontId="16" fillId="0" borderId="0" xfId="35" applyAlignment="1">
      <alignment horizontal="left" wrapText="1" indent="1"/>
    </xf>
    <xf numFmtId="49" fontId="32" fillId="0" borderId="40" xfId="35" applyNumberFormat="1" applyFont="1" applyBorder="1" applyAlignment="1">
      <alignment horizontal="center" vertical="center"/>
    </xf>
    <xf numFmtId="49" fontId="32" fillId="0" borderId="16" xfId="35" applyNumberFormat="1" applyFont="1" applyBorder="1" applyAlignment="1">
      <alignment horizontal="center" vertical="center"/>
    </xf>
    <xf numFmtId="49" fontId="32" fillId="0" borderId="34" xfId="35" applyNumberFormat="1" applyFont="1" applyBorder="1" applyAlignment="1">
      <alignment horizontal="center" vertical="center"/>
    </xf>
    <xf numFmtId="49" fontId="24" fillId="28" borderId="37" xfId="35" applyNumberFormat="1" applyFont="1" applyFill="1" applyBorder="1" applyAlignment="1">
      <alignment horizontal="left" vertical="center" indent="1"/>
    </xf>
    <xf numFmtId="49" fontId="24" fillId="28" borderId="38" xfId="35" applyNumberFormat="1" applyFont="1" applyFill="1" applyBorder="1" applyAlignment="1">
      <alignment horizontal="left" vertical="center" indent="1"/>
    </xf>
    <xf numFmtId="49" fontId="24" fillId="28" borderId="39" xfId="35" applyNumberFormat="1" applyFont="1" applyFill="1" applyBorder="1" applyAlignment="1">
      <alignment horizontal="left" vertical="center" indent="1"/>
    </xf>
    <xf numFmtId="0" fontId="25" fillId="0" borderId="26" xfId="35" applyFont="1" applyBorder="1" applyAlignment="1">
      <alignment horizontal="left" vertical="center" wrapText="1" indent="1"/>
    </xf>
    <xf numFmtId="0" fontId="16" fillId="0" borderId="30" xfId="35" applyBorder="1" applyAlignment="1">
      <alignment horizontal="center"/>
    </xf>
    <xf numFmtId="0" fontId="16" fillId="0" borderId="13" xfId="35" applyBorder="1" applyAlignment="1">
      <alignment horizontal="center"/>
    </xf>
    <xf numFmtId="0" fontId="16" fillId="0" borderId="31" xfId="35" applyBorder="1" applyAlignment="1">
      <alignment horizontal="center"/>
    </xf>
    <xf numFmtId="49" fontId="59" fillId="32" borderId="56" xfId="0" applyNumberFormat="1" applyFont="1" applyFill="1" applyBorder="1" applyAlignment="1">
      <alignment horizontal="left" vertical="center" indent="1"/>
    </xf>
    <xf numFmtId="49" fontId="59" fillId="32" borderId="57" xfId="0" applyNumberFormat="1" applyFont="1" applyFill="1" applyBorder="1" applyAlignment="1">
      <alignment horizontal="left" vertical="center" indent="1"/>
    </xf>
    <xf numFmtId="49" fontId="59" fillId="32" borderId="58" xfId="0" applyNumberFormat="1" applyFont="1" applyFill="1" applyBorder="1" applyAlignment="1">
      <alignment horizontal="left" vertical="center" indent="1"/>
    </xf>
    <xf numFmtId="49" fontId="59" fillId="32" borderId="103" xfId="0" applyNumberFormat="1" applyFont="1" applyFill="1" applyBorder="1" applyAlignment="1">
      <alignment horizontal="left" vertical="center" indent="1"/>
    </xf>
    <xf numFmtId="49" fontId="59" fillId="32" borderId="104" xfId="0" applyNumberFormat="1" applyFont="1" applyFill="1" applyBorder="1" applyAlignment="1">
      <alignment horizontal="left" vertical="center" indent="1"/>
    </xf>
    <xf numFmtId="49" fontId="59" fillId="32" borderId="105" xfId="0" applyNumberFormat="1" applyFont="1" applyFill="1" applyBorder="1" applyAlignment="1">
      <alignment horizontal="left" vertical="center" indent="1"/>
    </xf>
    <xf numFmtId="0" fontId="59" fillId="0" borderId="0" xfId="0" applyFont="1" applyAlignment="1">
      <alignment horizontal="left" vertical="center" wrapText="1"/>
    </xf>
    <xf numFmtId="0" fontId="59" fillId="0" borderId="0" xfId="0" applyFont="1" applyAlignment="1">
      <alignment horizontal="left" vertical="center"/>
    </xf>
    <xf numFmtId="0" fontId="62" fillId="0" borderId="36" xfId="0" applyFont="1" applyBorder="1" applyAlignment="1">
      <alignment horizontal="left" vertical="top" wrapText="1"/>
    </xf>
    <xf numFmtId="49" fontId="59" fillId="33" borderId="101" xfId="0" applyNumberFormat="1" applyFont="1" applyFill="1" applyBorder="1" applyAlignment="1">
      <alignment horizontal="center" vertical="center"/>
    </xf>
    <xf numFmtId="0" fontId="59" fillId="33" borderId="60" xfId="0" applyFont="1" applyFill="1" applyBorder="1" applyAlignment="1">
      <alignment horizontal="center" vertical="center"/>
    </xf>
    <xf numFmtId="0" fontId="59" fillId="33" borderId="102" xfId="0" applyFont="1" applyFill="1" applyBorder="1" applyAlignment="1">
      <alignment horizontal="center" vertical="center"/>
    </xf>
    <xf numFmtId="0" fontId="62" fillId="0" borderId="98" xfId="0" applyFont="1" applyBorder="1" applyAlignment="1">
      <alignment horizontal="left" vertical="top" wrapText="1"/>
    </xf>
    <xf numFmtId="0" fontId="62" fillId="0" borderId="99" xfId="0" applyFont="1" applyBorder="1" applyAlignment="1">
      <alignment horizontal="left" vertical="top" wrapText="1"/>
    </xf>
    <xf numFmtId="0" fontId="62" fillId="0" borderId="100" xfId="0" applyFont="1" applyBorder="1" applyAlignment="1">
      <alignment horizontal="left" vertical="top" wrapText="1"/>
    </xf>
    <xf numFmtId="0" fontId="62" fillId="0" borderId="92" xfId="0" applyFont="1" applyBorder="1" applyAlignment="1">
      <alignment horizontal="left" vertical="top" wrapText="1"/>
    </xf>
    <xf numFmtId="49" fontId="59" fillId="0" borderId="72" xfId="0" applyNumberFormat="1" applyFont="1" applyBorder="1" applyAlignment="1">
      <alignment horizontal="center" vertical="center"/>
    </xf>
    <xf numFmtId="0" fontId="59" fillId="0" borderId="73" xfId="0" applyFont="1" applyBorder="1" applyAlignment="1">
      <alignment horizontal="center" vertical="center"/>
    </xf>
    <xf numFmtId="0" fontId="59" fillId="0" borderId="74" xfId="0" applyFont="1" applyBorder="1" applyAlignment="1">
      <alignment horizontal="center" vertical="center"/>
    </xf>
    <xf numFmtId="49" fontId="59" fillId="32" borderId="57" xfId="0" applyNumberFormat="1" applyFont="1" applyFill="1" applyBorder="1" applyAlignment="1">
      <alignment horizontal="left" vertical="center"/>
    </xf>
    <xf numFmtId="0" fontId="59" fillId="32" borderId="57" xfId="0" applyFont="1" applyFill="1" applyBorder="1" applyAlignment="1">
      <alignment horizontal="left" vertical="center"/>
    </xf>
    <xf numFmtId="0" fontId="62" fillId="0" borderId="36" xfId="0" applyFont="1" applyBorder="1" applyAlignment="1">
      <alignment horizontal="left" vertical="top"/>
    </xf>
    <xf numFmtId="0" fontId="62" fillId="0" borderId="78" xfId="0" applyFont="1" applyBorder="1" applyAlignment="1">
      <alignment horizontal="left" vertical="top"/>
    </xf>
    <xf numFmtId="0" fontId="62" fillId="0" borderId="92" xfId="0" applyFont="1" applyBorder="1" applyAlignment="1">
      <alignment horizontal="left" vertical="top"/>
    </xf>
    <xf numFmtId="0" fontId="62" fillId="0" borderId="93" xfId="0" applyFont="1" applyBorder="1" applyAlignment="1">
      <alignment horizontal="left" vertical="top"/>
    </xf>
    <xf numFmtId="49" fontId="59" fillId="32" borderId="36" xfId="0" applyNumberFormat="1" applyFont="1" applyFill="1" applyBorder="1" applyAlignment="1">
      <alignment horizontal="left" vertical="center"/>
    </xf>
    <xf numFmtId="0" fontId="59" fillId="32" borderId="36" xfId="0" applyFont="1" applyFill="1" applyBorder="1" applyAlignment="1">
      <alignment horizontal="left" vertical="center"/>
    </xf>
    <xf numFmtId="0" fontId="62" fillId="0" borderId="36" xfId="0" applyFont="1" applyBorder="1" applyAlignment="1">
      <alignment horizontal="left" vertical="center" wrapText="1"/>
    </xf>
    <xf numFmtId="0" fontId="62" fillId="0" borderId="36" xfId="0" applyFont="1" applyBorder="1" applyAlignment="1">
      <alignment horizontal="left" vertical="center"/>
    </xf>
    <xf numFmtId="0" fontId="62" fillId="0" borderId="78" xfId="0" applyFont="1" applyBorder="1" applyAlignment="1">
      <alignment horizontal="left" vertical="center"/>
    </xf>
    <xf numFmtId="0" fontId="62" fillId="0" borderId="77" xfId="0" applyFont="1" applyBorder="1" applyAlignment="1">
      <alignment horizontal="left" wrapText="1"/>
    </xf>
    <xf numFmtId="0" fontId="62" fillId="0" borderId="36" xfId="0" applyFont="1" applyBorder="1" applyAlignment="1">
      <alignment horizontal="left"/>
    </xf>
    <xf numFmtId="0" fontId="62" fillId="0" borderId="78" xfId="0" applyFont="1" applyBorder="1" applyAlignment="1">
      <alignment horizontal="left"/>
    </xf>
    <xf numFmtId="0" fontId="60" fillId="0" borderId="56" xfId="0" applyFont="1" applyBorder="1" applyAlignment="1">
      <alignment horizontal="left"/>
    </xf>
    <xf numFmtId="0" fontId="60" fillId="0" borderId="57" xfId="0" applyFont="1" applyBorder="1" applyAlignment="1">
      <alignment horizontal="left"/>
    </xf>
    <xf numFmtId="0" fontId="60" fillId="0" borderId="58" xfId="0" applyFont="1" applyBorder="1" applyAlignment="1">
      <alignment horizontal="left"/>
    </xf>
    <xf numFmtId="0" fontId="61" fillId="0" borderId="77" xfId="0" applyFont="1" applyBorder="1" applyAlignment="1">
      <alignment horizontal="left" vertical="center" wrapText="1"/>
    </xf>
    <xf numFmtId="0" fontId="61" fillId="0" borderId="77" xfId="0" applyFont="1" applyBorder="1" applyAlignment="1">
      <alignment horizontal="left" wrapText="1"/>
    </xf>
    <xf numFmtId="0" fontId="62" fillId="0" borderId="77" xfId="0" applyFont="1" applyBorder="1" applyAlignment="1">
      <alignment horizontal="left" vertical="center" wrapText="1"/>
    </xf>
    <xf numFmtId="0" fontId="58" fillId="0" borderId="46" xfId="0" applyFont="1" applyBorder="1" applyAlignment="1">
      <alignment horizontal="left" vertical="center" wrapText="1"/>
    </xf>
    <xf numFmtId="0" fontId="58" fillId="0" borderId="0" xfId="0" applyFont="1" applyAlignment="1">
      <alignment horizontal="left" vertical="center"/>
    </xf>
    <xf numFmtId="0" fontId="58" fillId="0" borderId="52" xfId="0" applyFont="1" applyBorder="1" applyAlignment="1">
      <alignment horizontal="left" vertical="center"/>
    </xf>
    <xf numFmtId="0" fontId="58" fillId="0" borderId="53" xfId="0" applyFont="1" applyBorder="1" applyAlignment="1">
      <alignment horizontal="left" vertical="center"/>
    </xf>
    <xf numFmtId="0" fontId="58" fillId="0" borderId="0" xfId="0" applyFont="1" applyAlignment="1">
      <alignment horizontal="left" vertical="center" wrapText="1"/>
    </xf>
    <xf numFmtId="49" fontId="58" fillId="0" borderId="0" xfId="0" applyNumberFormat="1" applyFont="1" applyAlignment="1">
      <alignment horizontal="left" vertical="center"/>
    </xf>
    <xf numFmtId="49" fontId="58" fillId="0" borderId="53" xfId="0" applyNumberFormat="1" applyFont="1" applyBorder="1" applyAlignment="1">
      <alignment horizontal="left" vertical="center"/>
    </xf>
    <xf numFmtId="0" fontId="58" fillId="0" borderId="47" xfId="0" applyFont="1" applyBorder="1" applyAlignment="1">
      <alignment horizontal="left" vertical="center"/>
    </xf>
    <xf numFmtId="0" fontId="58" fillId="0" borderId="54" xfId="0" applyFont="1" applyBorder="1" applyAlignment="1">
      <alignment horizontal="left" vertical="center"/>
    </xf>
    <xf numFmtId="0" fontId="58" fillId="0" borderId="46" xfId="0" applyFont="1" applyBorder="1" applyAlignment="1">
      <alignment horizontal="left" vertical="center"/>
    </xf>
    <xf numFmtId="14" fontId="58" fillId="0" borderId="0" xfId="0" applyNumberFormat="1" applyFont="1" applyAlignment="1">
      <alignment horizontal="left" vertical="center"/>
    </xf>
    <xf numFmtId="49" fontId="57" fillId="0" borderId="72" xfId="0" applyNumberFormat="1" applyFont="1" applyBorder="1" applyAlignment="1">
      <alignment horizontal="left" vertical="center" indent="13"/>
    </xf>
    <xf numFmtId="0" fontId="57" fillId="0" borderId="73" xfId="0" applyFont="1" applyBorder="1" applyAlignment="1">
      <alignment horizontal="left" vertical="center" indent="13"/>
    </xf>
    <xf numFmtId="0" fontId="57" fillId="0" borderId="74" xfId="0" applyFont="1" applyBorder="1" applyAlignment="1">
      <alignment horizontal="left" vertical="center" indent="13"/>
    </xf>
    <xf numFmtId="0" fontId="58" fillId="0" borderId="75" xfId="0" applyFont="1" applyBorder="1" applyAlignment="1">
      <alignment horizontal="left" vertical="center" wrapText="1"/>
    </xf>
    <xf numFmtId="0" fontId="58" fillId="0" borderId="59" xfId="0" applyFont="1" applyBorder="1" applyAlignment="1">
      <alignment horizontal="left" vertical="center"/>
    </xf>
    <xf numFmtId="0" fontId="59" fillId="0" borderId="59" xfId="0" applyFont="1" applyBorder="1" applyAlignment="1">
      <alignment horizontal="left" vertical="center" wrapText="1"/>
    </xf>
    <xf numFmtId="49" fontId="58" fillId="0" borderId="59" xfId="0" applyNumberFormat="1" applyFont="1" applyBorder="1" applyAlignment="1">
      <alignment horizontal="left" vertical="center"/>
    </xf>
    <xf numFmtId="0" fontId="58" fillId="0" borderId="59" xfId="0" applyFont="1" applyBorder="1" applyAlignment="1">
      <alignment horizontal="left" vertical="center" wrapText="1"/>
    </xf>
    <xf numFmtId="0" fontId="58" fillId="0" borderId="76" xfId="0" applyFont="1" applyBorder="1" applyAlignment="1">
      <alignment horizontal="left" vertical="center"/>
    </xf>
    <xf numFmtId="0" fontId="54" fillId="0" borderId="0" xfId="59" applyFont="1" applyAlignment="1">
      <alignment horizontal="left" vertical="center" wrapText="1"/>
    </xf>
    <xf numFmtId="0" fontId="54" fillId="0" borderId="0" xfId="59" applyFont="1" applyAlignment="1">
      <alignment horizontal="left" vertical="center"/>
    </xf>
    <xf numFmtId="0" fontId="54" fillId="0" borderId="47" xfId="59" applyFont="1" applyBorder="1" applyAlignment="1">
      <alignment horizontal="left" vertical="center"/>
    </xf>
    <xf numFmtId="0" fontId="53" fillId="0" borderId="0" xfId="59" applyFont="1" applyAlignment="1">
      <alignment horizontal="left" vertical="center" wrapText="1"/>
    </xf>
    <xf numFmtId="0" fontId="53" fillId="0" borderId="0" xfId="59" applyFont="1" applyAlignment="1">
      <alignment horizontal="left" vertical="center"/>
    </xf>
    <xf numFmtId="0" fontId="54" fillId="0" borderId="53" xfId="59" applyFont="1" applyBorder="1" applyAlignment="1">
      <alignment horizontal="left" vertical="center" wrapText="1"/>
    </xf>
    <xf numFmtId="0" fontId="54" fillId="0" borderId="53" xfId="59" applyFont="1" applyBorder="1" applyAlignment="1">
      <alignment horizontal="left" vertical="center"/>
    </xf>
    <xf numFmtId="0" fontId="54" fillId="0" borderId="54" xfId="59" applyFont="1" applyBorder="1" applyAlignment="1">
      <alignment horizontal="left" vertical="center"/>
    </xf>
    <xf numFmtId="0" fontId="52" fillId="0" borderId="0" xfId="59" applyFont="1" applyAlignment="1">
      <alignment horizontal="left" vertical="center"/>
    </xf>
    <xf numFmtId="0" fontId="53" fillId="0" borderId="57" xfId="59" applyFont="1" applyBorder="1" applyAlignment="1">
      <alignment horizontal="left" vertical="center" wrapText="1"/>
    </xf>
    <xf numFmtId="0" fontId="53" fillId="0" borderId="57" xfId="59" applyFont="1" applyBorder="1" applyAlignment="1">
      <alignment horizontal="left" vertical="center"/>
    </xf>
    <xf numFmtId="0" fontId="52" fillId="31" borderId="0" xfId="59" applyFont="1" applyFill="1" applyAlignment="1">
      <alignment horizontal="left" vertical="center" wrapText="1"/>
    </xf>
    <xf numFmtId="0" fontId="52" fillId="31" borderId="0" xfId="59" applyFont="1" applyFill="1" applyAlignment="1">
      <alignment horizontal="left" vertical="center"/>
    </xf>
    <xf numFmtId="0" fontId="53" fillId="0" borderId="53" xfId="59" applyFont="1" applyBorder="1" applyAlignment="1">
      <alignment horizontal="left" vertical="center" wrapText="1"/>
    </xf>
    <xf numFmtId="0" fontId="53" fillId="0" borderId="53" xfId="59" applyFont="1" applyBorder="1" applyAlignment="1">
      <alignment horizontal="left" vertical="center"/>
    </xf>
    <xf numFmtId="0" fontId="52" fillId="31" borderId="57" xfId="59" applyFont="1" applyFill="1" applyBorder="1" applyAlignment="1">
      <alignment horizontal="left" vertical="center" wrapText="1"/>
    </xf>
    <xf numFmtId="0" fontId="52" fillId="31" borderId="57" xfId="59" applyFont="1" applyFill="1" applyBorder="1" applyAlignment="1">
      <alignment horizontal="left" vertical="center"/>
    </xf>
    <xf numFmtId="0" fontId="52" fillId="0" borderId="53" xfId="59" applyFont="1" applyBorder="1" applyAlignment="1">
      <alignment horizontal="left" vertical="center"/>
    </xf>
    <xf numFmtId="0" fontId="52" fillId="0" borderId="68" xfId="59" applyFont="1" applyBorder="1" applyAlignment="1">
      <alignment horizontal="left" vertical="center"/>
    </xf>
    <xf numFmtId="0" fontId="52" fillId="0" borderId="57" xfId="59" applyFont="1" applyBorder="1" applyAlignment="1">
      <alignment horizontal="left" vertical="center"/>
    </xf>
    <xf numFmtId="0" fontId="52" fillId="0" borderId="62" xfId="59" applyFont="1" applyBorder="1" applyAlignment="1">
      <alignment horizontal="left" vertical="center"/>
    </xf>
    <xf numFmtId="0" fontId="52" fillId="0" borderId="63" xfId="59" applyFont="1" applyBorder="1" applyAlignment="1">
      <alignment horizontal="center" vertical="center"/>
    </xf>
    <xf numFmtId="0" fontId="52" fillId="0" borderId="64" xfId="59" applyFont="1" applyBorder="1" applyAlignment="1">
      <alignment horizontal="center" vertical="center"/>
    </xf>
    <xf numFmtId="0" fontId="52" fillId="0" borderId="65" xfId="59" applyFont="1" applyBorder="1" applyAlignment="1">
      <alignment horizontal="center" vertical="center"/>
    </xf>
    <xf numFmtId="0" fontId="53" fillId="0" borderId="46" xfId="59" applyFont="1" applyBorder="1" applyAlignment="1">
      <alignment horizontal="left" vertical="center" wrapText="1"/>
    </xf>
    <xf numFmtId="0" fontId="53" fillId="0" borderId="46" xfId="59" applyFont="1" applyBorder="1" applyAlignment="1">
      <alignment horizontal="left" vertical="center"/>
    </xf>
    <xf numFmtId="0" fontId="53" fillId="0" borderId="0" xfId="59" applyFont="1" applyAlignment="1">
      <alignment horizontal="left" vertical="center" wrapText="1" indent="1"/>
    </xf>
    <xf numFmtId="0" fontId="53" fillId="0" borderId="0" xfId="59" applyFont="1" applyAlignment="1">
      <alignment horizontal="left" vertical="center" indent="1"/>
    </xf>
    <xf numFmtId="0" fontId="56" fillId="0" borderId="0" xfId="59" applyFont="1" applyAlignment="1">
      <alignment horizontal="center" vertical="center"/>
    </xf>
    <xf numFmtId="0" fontId="53" fillId="0" borderId="0" xfId="59" applyFont="1" applyAlignment="1">
      <alignment horizontal="center" vertical="center"/>
    </xf>
    <xf numFmtId="0" fontId="53" fillId="0" borderId="0" xfId="0" applyFont="1" applyAlignment="1">
      <alignment horizontal="left" vertical="center" wrapText="1"/>
    </xf>
    <xf numFmtId="0" fontId="53" fillId="0" borderId="0" xfId="0" applyFont="1" applyAlignment="1">
      <alignment horizontal="left" vertical="center"/>
    </xf>
    <xf numFmtId="0" fontId="53" fillId="0" borderId="47" xfId="59" applyFont="1" applyBorder="1" applyAlignment="1">
      <alignment horizontal="left" vertical="center" wrapText="1" indent="1"/>
    </xf>
    <xf numFmtId="0" fontId="53" fillId="0" borderId="53" xfId="0" applyFont="1" applyBorder="1" applyAlignment="1">
      <alignment horizontal="left" vertical="center"/>
    </xf>
    <xf numFmtId="0" fontId="53" fillId="0" borderId="53" xfId="59" applyFont="1" applyBorder="1" applyAlignment="1">
      <alignment horizontal="left" vertical="center" wrapText="1" indent="1"/>
    </xf>
    <xf numFmtId="0" fontId="53" fillId="0" borderId="54" xfId="59" applyFont="1" applyBorder="1" applyAlignment="1">
      <alignment horizontal="left" vertical="center" wrapText="1" indent="1"/>
    </xf>
    <xf numFmtId="0" fontId="51" fillId="0" borderId="37" xfId="59" applyFont="1" applyBorder="1" applyAlignment="1">
      <alignment horizontal="center" vertical="center"/>
    </xf>
    <xf numFmtId="0" fontId="51" fillId="0" borderId="38" xfId="59" applyFont="1" applyBorder="1" applyAlignment="1">
      <alignment horizontal="center" vertical="center"/>
    </xf>
    <xf numFmtId="0" fontId="51" fillId="0" borderId="39" xfId="59" applyFont="1" applyBorder="1" applyAlignment="1">
      <alignment horizontal="center" vertical="center"/>
    </xf>
    <xf numFmtId="0" fontId="53" fillId="0" borderId="56" xfId="59" applyFont="1" applyBorder="1" applyAlignment="1">
      <alignment horizontal="left" vertical="center" wrapText="1"/>
    </xf>
    <xf numFmtId="0" fontId="52" fillId="0" borderId="57" xfId="59" applyFont="1" applyBorder="1" applyAlignment="1">
      <alignment horizontal="left" vertical="center" wrapText="1" indent="1"/>
    </xf>
    <xf numFmtId="0" fontId="52" fillId="0" borderId="57" xfId="59" applyFont="1" applyBorder="1" applyAlignment="1">
      <alignment horizontal="left" vertical="center" indent="1"/>
    </xf>
    <xf numFmtId="0" fontId="52" fillId="0" borderId="0" xfId="59" applyFont="1" applyAlignment="1">
      <alignment horizontal="left" vertical="center" indent="1"/>
    </xf>
    <xf numFmtId="0" fontId="56" fillId="0" borderId="57" xfId="59" applyFont="1" applyBorder="1" applyAlignment="1">
      <alignment horizontal="center" vertical="center" wrapText="1"/>
    </xf>
    <xf numFmtId="0" fontId="53" fillId="0" borderId="52" xfId="59" applyFont="1" applyBorder="1" applyAlignment="1">
      <alignment horizontal="left" vertical="center"/>
    </xf>
    <xf numFmtId="0" fontId="53" fillId="0" borderId="53" xfId="59" applyFont="1" applyBorder="1" applyAlignment="1">
      <alignment horizontal="left" vertical="center" indent="1"/>
    </xf>
    <xf numFmtId="14" fontId="53" fillId="0" borderId="0" xfId="59" applyNumberFormat="1" applyFont="1" applyAlignment="1">
      <alignment horizontal="center" vertical="center"/>
    </xf>
    <xf numFmtId="0" fontId="53" fillId="0" borderId="53" xfId="59" applyFont="1" applyBorder="1" applyAlignment="1">
      <alignment horizontal="center" vertical="center"/>
    </xf>
    <xf numFmtId="0" fontId="53" fillId="0" borderId="57" xfId="0" applyFont="1" applyBorder="1" applyAlignment="1">
      <alignment horizontal="left" vertical="center" wrapText="1"/>
    </xf>
    <xf numFmtId="0" fontId="53" fillId="0" borderId="57" xfId="59" applyFont="1" applyBorder="1" applyAlignment="1">
      <alignment horizontal="left" vertical="center" wrapText="1" indent="1"/>
    </xf>
    <xf numFmtId="0" fontId="53" fillId="0" borderId="58" xfId="59" applyFont="1" applyBorder="1" applyAlignment="1">
      <alignment horizontal="left" vertical="center" wrapText="1" indent="1"/>
    </xf>
    <xf numFmtId="0" fontId="54" fillId="0" borderId="42" xfId="59" applyFont="1" applyBorder="1" applyAlignment="1">
      <alignment horizontal="left" vertical="center"/>
    </xf>
    <xf numFmtId="0" fontId="54" fillId="0" borderId="44" xfId="59" applyFont="1" applyBorder="1" applyAlignment="1">
      <alignment horizontal="left" vertical="center" wrapText="1"/>
    </xf>
    <xf numFmtId="0" fontId="54" fillId="0" borderId="44" xfId="59" applyFont="1" applyBorder="1" applyAlignment="1">
      <alignment horizontal="left" vertical="center"/>
    </xf>
    <xf numFmtId="0" fontId="54" fillId="0" borderId="45" xfId="59" applyFont="1" applyBorder="1" applyAlignment="1">
      <alignment horizontal="left" vertical="center"/>
    </xf>
    <xf numFmtId="0" fontId="52" fillId="0" borderId="42" xfId="59" applyFont="1" applyBorder="1" applyAlignment="1">
      <alignment horizontal="left" vertical="center"/>
    </xf>
    <xf numFmtId="0" fontId="52" fillId="0" borderId="49" xfId="59" applyFont="1" applyBorder="1" applyAlignment="1">
      <alignment horizontal="center" vertical="center"/>
    </xf>
    <xf numFmtId="0" fontId="52" fillId="0" borderId="44" xfId="59" applyFont="1" applyBorder="1" applyAlignment="1">
      <alignment horizontal="center" vertical="center"/>
    </xf>
    <xf numFmtId="0" fontId="52" fillId="0" borderId="50" xfId="59" applyFont="1" applyBorder="1" applyAlignment="1">
      <alignment horizontal="center" vertical="center"/>
    </xf>
    <xf numFmtId="0" fontId="52" fillId="0" borderId="0" xfId="59" applyFont="1" applyAlignment="1">
      <alignment horizontal="left" vertical="center" wrapText="1" indent="1"/>
    </xf>
    <xf numFmtId="0" fontId="56" fillId="0" borderId="0" xfId="59" applyFont="1" applyAlignment="1">
      <alignment horizontal="center" vertical="center" wrapText="1"/>
    </xf>
  </cellXfs>
  <cellStyles count="60">
    <cellStyle name="20 % – Zvýraznění1" xfId="1" xr:uid="{00000000-0005-0000-0000-000000000000}"/>
    <cellStyle name="20 % – Zvýraznění2" xfId="2" xr:uid="{00000000-0005-0000-0000-000001000000}"/>
    <cellStyle name="20 % – Zvýraznění3" xfId="3" xr:uid="{00000000-0005-0000-0000-000002000000}"/>
    <cellStyle name="20 % – Zvýraznění4" xfId="4" xr:uid="{00000000-0005-0000-0000-000003000000}"/>
    <cellStyle name="20 % – Zvýraznění5" xfId="5" xr:uid="{00000000-0005-0000-0000-000004000000}"/>
    <cellStyle name="20 % – Zvýraznění6" xfId="6" xr:uid="{00000000-0005-0000-0000-000005000000}"/>
    <cellStyle name="40 % – Zvýraznění1" xfId="7" xr:uid="{00000000-0005-0000-0000-000006000000}"/>
    <cellStyle name="40 % – Zvýraznění2" xfId="8" xr:uid="{00000000-0005-0000-0000-000007000000}"/>
    <cellStyle name="40 % – Zvýraznění3" xfId="9" xr:uid="{00000000-0005-0000-0000-000008000000}"/>
    <cellStyle name="40 % – Zvýraznění4" xfId="10" xr:uid="{00000000-0005-0000-0000-000009000000}"/>
    <cellStyle name="40 % – Zvýraznění5" xfId="11" xr:uid="{00000000-0005-0000-0000-00000A000000}"/>
    <cellStyle name="40 % – Zvýraznění6" xfId="12" xr:uid="{00000000-0005-0000-0000-00000B000000}"/>
    <cellStyle name="60 % – Zvýraznění1" xfId="13" xr:uid="{00000000-0005-0000-0000-00000C000000}"/>
    <cellStyle name="60 % – Zvýraznění2" xfId="14" xr:uid="{00000000-0005-0000-0000-00000D000000}"/>
    <cellStyle name="60 % – Zvýraznění3" xfId="15" xr:uid="{00000000-0005-0000-0000-00000E000000}"/>
    <cellStyle name="60 % – Zvýraznění4" xfId="16" xr:uid="{00000000-0005-0000-0000-00000F000000}"/>
    <cellStyle name="60 % – Zvýraznění5" xfId="17" xr:uid="{00000000-0005-0000-0000-000010000000}"/>
    <cellStyle name="60 % – Zvýraznění6" xfId="18" xr:uid="{00000000-0005-0000-0000-000011000000}"/>
    <cellStyle name="Celkem" xfId="19" builtinId="25" customBuiltin="1"/>
    <cellStyle name="ColStyle1" xfId="51" xr:uid="{D7616A15-8B8A-426B-A698-8AA0CA1A83AB}"/>
    <cellStyle name="ColStyle2" xfId="52" xr:uid="{1109F919-1A68-4147-90C2-58147D6953BF}"/>
    <cellStyle name="ColStyle3" xfId="53" xr:uid="{7CB5D173-A555-4FBE-8BF2-F0BBB753298E}"/>
    <cellStyle name="ColStyle4" xfId="54" xr:uid="{CD6EE845-BACD-4A1C-838B-B28A471752B4}"/>
    <cellStyle name="ColStyle5" xfId="55" xr:uid="{586A9E85-5347-4836-8D08-4A4721C6E82D}"/>
    <cellStyle name="Hypertextový odkaz" xfId="20" builtinId="8"/>
    <cellStyle name="Hypertextový odkaz 2" xfId="21" xr:uid="{00000000-0005-0000-0000-000014000000}"/>
    <cellStyle name="Hypertextový odkaz 3" xfId="22" xr:uid="{00000000-0005-0000-0000-000015000000}"/>
    <cellStyle name="Chybně" xfId="23" xr:uid="{00000000-0005-0000-0000-000016000000}"/>
    <cellStyle name="Kontrolní buňka" xfId="24" builtinId="23" customBuiltin="1"/>
    <cellStyle name="Nadpis 1" xfId="25" builtinId="16" customBuiltin="1"/>
    <cellStyle name="Nadpis 2" xfId="26" builtinId="17" customBuiltin="1"/>
    <cellStyle name="Nadpis 3" xfId="27" builtinId="18" customBuiltin="1"/>
    <cellStyle name="Nadpis 4" xfId="28" builtinId="19" customBuiltin="1"/>
    <cellStyle name="Název" xfId="29" builtinId="15" customBuiltin="1"/>
    <cellStyle name="Neutrální" xfId="30" builtinId="28" customBuiltin="1"/>
    <cellStyle name="Normální" xfId="0" builtinId="0"/>
    <cellStyle name="Normální 10" xfId="59" xr:uid="{7C49C2D2-C816-4D91-80C7-2ECCC1811C26}"/>
    <cellStyle name="Normální 2" xfId="31" xr:uid="{00000000-0005-0000-0000-00001F000000}"/>
    <cellStyle name="Normální 3" xfId="32" xr:uid="{00000000-0005-0000-0000-000020000000}"/>
    <cellStyle name="Normální 4" xfId="33" xr:uid="{00000000-0005-0000-0000-000021000000}"/>
    <cellStyle name="Normální 5" xfId="34" xr:uid="{00000000-0005-0000-0000-000022000000}"/>
    <cellStyle name="Normální 6" xfId="50" xr:uid="{56525E39-750A-456D-9B2C-7B5F566120E0}"/>
    <cellStyle name="Normální 7" xfId="56" xr:uid="{53A1780D-90AB-4299-9555-966AA9B86412}"/>
    <cellStyle name="Normální 8" xfId="57" xr:uid="{4A4F0BEF-270B-4468-81C4-D4FCEAE54CCD}"/>
    <cellStyle name="Normální 9" xfId="58" xr:uid="{CA1A8A85-49CD-449B-BD8A-49F0E2E8C8F3}"/>
    <cellStyle name="normální_SENECO_REKAPITULACE_STAVBY_verze_2019_08_24" xfId="35" xr:uid="{00000000-0005-0000-0000-000023000000}"/>
    <cellStyle name="Poznámka" xfId="36" builtinId="10" customBuiltin="1"/>
    <cellStyle name="Propojená buňka" xfId="37" builtinId="24" customBuiltin="1"/>
    <cellStyle name="Správně" xfId="38" builtinId="26" customBuiltin="1"/>
    <cellStyle name="Text upozornění" xfId="39" builtinId="11" customBuiltin="1"/>
    <cellStyle name="Vstup" xfId="40" builtinId="20" customBuiltin="1"/>
    <cellStyle name="Výpočet" xfId="41" builtinId="22" customBuiltin="1"/>
    <cellStyle name="Výstup" xfId="42" builtinId="21" customBuiltin="1"/>
    <cellStyle name="Vysvětlující text" xfId="43" builtinId="53" customBuiltin="1"/>
    <cellStyle name="Zvýraznění 1" xfId="44" builtinId="29" customBuiltin="1"/>
    <cellStyle name="Zvýraznění 2" xfId="45" builtinId="33" customBuiltin="1"/>
    <cellStyle name="Zvýraznění 3" xfId="46" builtinId="37" customBuiltin="1"/>
    <cellStyle name="Zvýraznění 4" xfId="47" builtinId="41" customBuiltin="1"/>
    <cellStyle name="Zvýraznění 5" xfId="48" builtinId="45" customBuiltin="1"/>
    <cellStyle name="Zvýraznění 6" xfId="49" builtinId="49"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008040"/>
      <rgbColor rgb="00000000"/>
      <rgbColor rgb="00DBDBDB"/>
      <rgbColor rgb="00000000"/>
      <rgbColor rgb="00C0C0C0"/>
      <rgbColor rgb="00000000"/>
      <rgbColor rgb="00C0C0C0"/>
      <rgbColor rgb="00000000"/>
      <rgbColor rgb="00000000"/>
      <rgbColor rgb="000000FF"/>
      <rgbColor rgb="00000000"/>
      <rgbColor rgb="00000000"/>
      <rgbColor rgb="00000000"/>
    </indexedColors>
    <mruColors>
      <color rgb="FF66FF99"/>
      <color rgb="FF990033"/>
      <color rgb="FFCC0000"/>
      <color rgb="FF79DD55"/>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1">
    <xsd:schema xmlns:xsd="http://www.w3.org/2001/XMLSchema" xmlns="">
      <xsd:element nillable="true" name="eVV">
        <xsd:complexType>
          <xsd:sequence minOccurs="0">
            <xsd:element minOccurs="0" nillable="true" name="STAVBA" form="unqualified">
              <xsd:complexType>
                <xsd:sequence minOccurs="0">
                  <xsd:element minOccurs="0" maxOccurs="unbounded" nillable="true" name="SUBJEKT" form="unqualified">
                    <xsd:complexType>
                      <xsd:attribute name="Typ" form="unqualified" type="xsd:string"/>
                      <xsd:attribute name="ICO" form="unqualified" type="xsd:string"/>
                      <xsd:attribute name="DIC" form="unqualified" type="xsd:string"/>
                      <xsd:attribute name="Nazev" form="unqualified" type="xsd:string"/>
                      <xsd:attribute name="Adresa" form="unqualified" type="xsd:string"/>
                      <xsd:attribute name="Misto" form="unqualified" type="xsd:string"/>
                      <xsd:attribute name="PSC" form="unqualified" type="xsd:string"/>
                      <xsd:attribute name="Stat" form="unqualified" type="xsd:string"/>
                      <xsd:attribute name="Kontakt" form="unqualified" type="xsd:string"/>
                      <xsd:attribute name="Telefon" form="unqualified" type="xsd:string"/>
                      <xsd:attribute name="Email" form="unqualified" type="xsd:string"/>
                    </xsd:complexType>
                  </xsd:element>
                  <xsd:element minOccurs="0" nillable="true" type="xsd:string" name="SPOPIS" form="unqualified"/>
                  <xsd:element minOccurs="0" maxOccurs="unbounded" nillable="true" name="ONS" form="unqualified">
                    <xsd:complexType>
                      <xsd:attribute name="PoradoveCislo" form="unqualified" type="xsd:integer"/>
                      <xsd:attribute name="Nazev" form="unqualified" type="xsd:string"/>
                      <xsd:attribute name="Cena" form="unqualified" type="xsd:double"/>
                      <xsd:attribute name="SazbaDPH" form="unqualified" type="xsd:integer"/>
                    </xsd:complexType>
                  </xsd:element>
                  <xsd:element minOccurs="0" nillable="true" name="SOBJEKT" form="unqualified">
                    <xsd:complexType>
                      <xsd:sequence minOccurs="0">
                        <xsd:element minOccurs="0" nillable="true" name="OBJEKT" form="unqualified">
                          <xsd:complexType>
                            <xsd:sequence minOccurs="0">
                              <xsd:element minOccurs="0" nillable="true" name="PODOBJEKT" form="unqualified">
                                <xsd:complexType>
                                  <xsd:sequence minOccurs="0">
                                    <xsd:element minOccurs="0" nillable="true" name="ROZPOCET" form="unqualified">
                                      <xsd:complexType>
                                        <xsd:sequence minOccurs="0">
                                          <xsd:element minOccurs="0" maxOccurs="unbounded" nillable="true" name="TYPDILU" form="unqualified">
                                            <xsd:complexType>
                                              <xsd:sequence minOccurs="0">
                                                <xsd:element minOccurs="0" nillable="true" name="DIL" form="unqualified">
                                                  <xsd:complexType>
                                                    <xsd:sequence minOccurs="0">
                                                      <xsd:element minOccurs="0" nillable="true" name="KAPITOLA" form="unqualified">
                                                        <xsd:complexType>
                                                          <xsd:sequence minOccurs="0">
                                                            <xsd:element minOccurs="0" maxOccurs="unbounded" nillable="true" name="POLOZKA" form="unqualified">
                                                              <xsd:complexType>
                                                                <xsd:sequence minOccurs="0" maxOccurs="unbounded">
                                                                  <xsd:element minOccurs="0" nillable="true" type="xsd:string" name="PPOPIS" form="unqualified"/>
                                                                  <xsd:element minOccurs="0" maxOccurs="unbounded" nillable="true" type="xsd:string" name="VYMERA" form="unqualified"/>
                                                                  <xsd:element minOccurs="0" nillable="true" type="xsd:string" name="DPOPIS" form="unqualified"/>
                                                                </xsd:sequence>
                                                                <xsd:attribute name="UID" form="unqualified" type="xsd:string"/>
                                                                <xsd:attribute name="PoradoveCislo" form="unqualified" type="xsd:integer"/>
                                                                <xsd:attribute name="Cislo" form="unqualified" type="xsd:string"/>
                                                                <xsd:attribute name="Typ" form="unqualified" type="xsd:string"/>
                                                                <xsd:attribute name="Nazev" form="unqualified" type="xsd:string"/>
                                                                <xsd:attribute name="MJ" form="unqualified" type="xsd:string"/>
                                                                <xsd:attribute name="Mnozstvi" form="unqualified" type="xsd:double"/>
                                                                <xsd:attribute name="JHmotnost" form="unqualified" type="xsd:double"/>
                                                                <xsd:attribute name="JDemontazniHmotnost" form="unqualified" type="xsd:double"/>
                                                                <xsd:attribute name="DPH" form="unqualified" type="xsd:integer"/>
                                                                <xsd:attribute name="JCena" form="unqualified" type="xsd:double"/>
                                                                <xsd:attribute name="Cena" form="unqualified" type="xsd:double"/>
                                                              </xsd:complexType>
                                                            </xsd:element>
                                                          </xsd:sequence>
                                                          <xsd:attribute name="Cislo" form="unqualified" type="xsd:integer"/>
                                                          <xsd:attribute name="Nazev" form="unqualified" type="xsd:string"/>
                                                        </xsd:complexType>
                                                      </xsd:element>
                                                    </xsd:sequence>
                                                    <xsd:attribute name="Cislo" form="unqualified" type="xsd:string"/>
                                                    <xsd:attribute name="Nazev" form="unqualified" type="xsd:string"/>
                                                  </xsd:complexType>
                                                </xsd:element>
                                              </xsd:sequence>
                                              <xsd:attribute name="Cislo" form="unqualified" type="xsd:string"/>
                                              <xsd:attribute name="Nazev" form="unqualified" type="xsd:string"/>
                                            </xsd:complexType>
                                          </xsd:element>
                                        </xsd:sequence>
                                        <xsd:attribute name="Cislo" form="unqualified" type="xsd:string"/>
                                        <xsd:attribute name="Nazev" form="unqualified" type="xsd:string"/>
                                      </xsd:complexType>
                                    </xsd:element>
                                  </xsd:sequence>
                                  <xsd:attribute name="Cislo" form="unqualified" type="xsd:string"/>
                                  <xsd:attribute name="Nazev" form="unqualified" type="xsd:string"/>
                                </xsd:complexType>
                              </xsd:element>
                            </xsd:sequence>
                            <xsd:attribute name="Cislo" form="unqualified" type="xsd:string"/>
                            <xsd:attribute name="Nazev" form="unqualified" type="xsd:string"/>
                            <xsd:attribute name="Typ" form="unqualified" type="xsd:string"/>
                          </xsd:complexType>
                        </xsd:element>
                      </xsd:sequence>
                      <xsd:attribute name="Cislo" form="unqualified" type="xsd:string"/>
                      <xsd:attribute name="Nazev" form="unqualified" type="xsd:string"/>
                    </xsd:complexType>
                  </xsd:element>
                </xsd:sequence>
                <xsd:attribute name="CisloStavby" form="unqualified" type="xsd:integer"/>
                <xsd:attribute name="NazevStavby" form="unqualified" type="xsd:string"/>
                <xsd:attribute name="MistoStavby" form="unqualified" type="xsd:string"/>
              </xsd:complexType>
            </xsd:element>
          </xsd:sequence>
          <xsd:attribute name="Mena" form="unqualified" type="xsd:string"/>
          <xsd:attribute name="Verze" form="unqualified" type="xsd:double"/>
          <xsd:attribute name="Zdroj" form="unqualified" type="xsd:string"/>
          <xsd:attribute name="UID" form="unqualified" type="xsd:string"/>
        </xsd:complexType>
      </xsd:element>
    </xsd:schema>
  </Schema>
  <Map ID="1" Name="eVV_Mapování" RootElement="eVV" SchemaID="Schema1" ShowImportExportValidationErrors="false" AutoFit="true" Append="false" PreserveSortAFLayout="true" PreserveFormat="true">
    <DataBinding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externalLink" Target="externalLinks/externalLink4.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theme" Target="theme/theme1.xml"/><Relationship Id="rId37" Type="http://schemas.openxmlformats.org/officeDocument/2006/relationships/xmlMaps" Target="xmlMap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D0E454AB-DC55-452A-877D-1D47E0212994}"/>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F611886D-2B1F-4151-95C2-F8C163968AFB}"/>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918FC279-6960-41B1-8398-34E216D9B6F6}"/>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725C509D-17E5-4F49-B62A-D4B7F9F20443}"/>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E1C82C82-6981-49A8-BADC-E905EF54BB88}"/>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5B82BCD9-BA7A-4FB6-8C20-C5D81B1996C3}"/>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891D1393-3A05-4B2E-8A45-0C96FBF16525}"/>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34D49534-2648-4E71-89CB-5A74CEECE7E2}"/>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C35C70E6-1AC4-498D-BC44-626F4D7ACE92}"/>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9CB78CC8-33EE-4324-8C9A-17893DB1B14E}"/>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A5A17C74-8716-4B63-A86D-22CF8B7A46FE}"/>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5CBF19A0-CF08-4816-8E97-679A2E5B080B}"/>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EC5B7675-F58B-4E5D-A0C0-A4B9DA596EF5}"/>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0" cy="0"/>
    <xdr:pic>
      <xdr:nvPicPr>
        <xdr:cNvPr id="2" name="Obrázek 1">
          <a:extLst>
            <a:ext uri="{FF2B5EF4-FFF2-40B4-BE49-F238E27FC236}">
              <a16:creationId xmlns:a16="http://schemas.microsoft.com/office/drawing/2014/main" id="{C425E69C-2E97-4ADB-BF58-65F19EBB814B}"/>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a:noFill/>
        <a:ln w="9525">
          <a:noFill/>
        </a:ln>
      </xdr:spPr>
    </xdr:pic>
    <xdr:clientData/>
  </xdr:absolute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1_I_1_VODOVODNI_ODBOCENI_5073_1.xlsx" TargetMode="External"/><Relationship Id="rId1" Type="http://schemas.openxmlformats.org/officeDocument/2006/relationships/externalLinkPath" Target="/0%20PROJEKTY/2024_PROJEKTY/JIHLAVA_&#352;KROUPOVA_DUSP/ROZPO&#268;ET/ROZPO&#268;ET_EXCEL/DSO_301_I_1_VODOVODNI_ODBOCENI_5073_1.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2_II_1_KANALIZACNI_PRIPOJKA_PRO_MONOLIT_PM_&#381;LAB.xlsx" TargetMode="External"/><Relationship Id="rId1" Type="http://schemas.openxmlformats.org/officeDocument/2006/relationships/externalLinkPath" Target="/0%20PROJEKTY/2024_PROJEKTY/JIHLAVA_&#352;KROUPOVA_DUSP/ROZPO&#268;ET/ROZPO&#268;ET_EXCEL/DSO_302_II_1_KANALIZACNI_PRIPOJKA_PRO_MONOLIT_PM_&#381;LAB.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SO_301_I_VODOVODNI_&#344;AD_I_ETAPA.xlsx" TargetMode="External"/><Relationship Id="rId1" Type="http://schemas.openxmlformats.org/officeDocument/2006/relationships/externalLinkPath" Target="/0%20PROJEKTY/2024_PROJEKTY/JIHLAVA_&#352;KROUPOVA_DUSP/ROZPO&#268;ET/ROZPO&#268;ET_EXCEL/SO_301_I_VODOVODNI_&#344;AD_I_ETAPA.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SO_301_II_VODOVODNI_&#344;AD_II_ETAPA.xlsx" TargetMode="External"/><Relationship Id="rId1" Type="http://schemas.openxmlformats.org/officeDocument/2006/relationships/externalLinkPath" Target="/0%20PROJEKTY/2024_PROJEKTY/JIHLAVA_&#352;KROUPOVA_DUSP/ROZPO&#268;ET/ROZPO&#268;ET_EXCEL/SO_301_II_VODOVODNI_&#344;AD_II_ETAPA.xlsx"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SO_302_I_KANALIZACE_I_ETAPA.xlsx" TargetMode="External"/><Relationship Id="rId1" Type="http://schemas.openxmlformats.org/officeDocument/2006/relationships/externalLinkPath" Target="/0%20PROJEKTY/2024_PROJEKTY/JIHLAVA_&#352;KROUPOVA_DUSP/ROZPO&#268;ET/ROZPO&#268;ET_EXCEL/SO_302_I_KANALIZACE_I_ETAPA.xlsx"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SO_302_II_KANALIZACE_II_ETAPA.xlsx" TargetMode="External"/><Relationship Id="rId1" Type="http://schemas.openxmlformats.org/officeDocument/2006/relationships/externalLinkPath" Target="/0%20PROJEKTY/2024_PROJEKTY/JIHLAVA_&#352;KROUPOVA_DUSP/ROZPO&#268;ET/ROZPO&#268;ET_EXCEL/SO_302_II_KANALIZACE_II_ETAPA.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1_I_2_VODOVODNI_ODBOCENI_850_4.xlsx" TargetMode="External"/><Relationship Id="rId1" Type="http://schemas.openxmlformats.org/officeDocument/2006/relationships/externalLinkPath" Target="/0%20PROJEKTY/2024_PROJEKTY/JIHLAVA_&#352;KROUPOVA_DUSP/ROZPO&#268;ET/ROZPO&#268;ET_EXCEL/DSO_301_I_2_VODOVODNI_ODBOCENI_850_4.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1_I_3_VODOVODNI_ODBOCENI_912_24.xlsx" TargetMode="External"/><Relationship Id="rId1" Type="http://schemas.openxmlformats.org/officeDocument/2006/relationships/externalLinkPath" Target="/0%20PROJEKTY/2024_PROJEKTY/JIHLAVA_&#352;KROUPOVA_DUSP/ROZPO&#268;ET/ROZPO&#268;ET_EXCEL/DSO_301_I_3_VODOVODNI_ODBOCENI_912_24.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1_I_4_VODOVODNI_ODBOCENI_4804_6.xlsx" TargetMode="External"/><Relationship Id="rId1" Type="http://schemas.openxmlformats.org/officeDocument/2006/relationships/externalLinkPath" Target="/0%20PROJEKTY/2024_PROJEKTY/JIHLAVA_&#352;KROUPOVA_DUSP/ROZPO&#268;ET/ROZPO&#268;ET_EXCEL/DSO_301_I_4_VODOVODNI_ODBOCENI_4804_6.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2_I_1_KANALIZACNI_PRIPOJKY_PRO_BODOVE_UV.xlsx" TargetMode="External"/><Relationship Id="rId1" Type="http://schemas.openxmlformats.org/officeDocument/2006/relationships/externalLinkPath" Target="/0%20PROJEKTY/2024_PROJEKTY/JIHLAVA_&#352;KROUPOVA_DUSP/ROZPO&#268;ET/ROZPO&#268;ET_EXCEL/DSO_302_I_1_KANALIZACNI_PRIPOJKY_PRO_BODOVE_UV.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2_I_2_KANALIZACNI_ODBO&#268;EN&#205;_&#268;P_4804_6.xlsx" TargetMode="External"/><Relationship Id="rId1" Type="http://schemas.openxmlformats.org/officeDocument/2006/relationships/externalLinkPath" Target="/0%20PROJEKTY/2024_PROJEKTY/JIHLAVA_&#352;KROUPOVA_DUSP/ROZPO&#268;ET/ROZPO&#268;ET_EXCEL/DSO_302_I_2_KANALIZACNI_ODBO&#268;EN&#205;_&#268;P_4804_6.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2_I_3_KANALIZACNI_ODBO&#268;EN&#205;_&#268;P_912_24.xlsx" TargetMode="External"/><Relationship Id="rId1" Type="http://schemas.openxmlformats.org/officeDocument/2006/relationships/externalLinkPath" Target="/0%20PROJEKTY/2024_PROJEKTY/JIHLAVA_&#352;KROUPOVA_DUSP/ROZPO&#268;ET/ROZPO&#268;ET_EXCEL/DSO_302_I_3_KANALIZACNI_ODBO&#268;EN&#205;_&#268;P_912_24.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2_I_4_KANALIZACNI_ODBO&#268;EN&#205;_&#268;P_850_4.xlsx" TargetMode="External"/><Relationship Id="rId1" Type="http://schemas.openxmlformats.org/officeDocument/2006/relationships/externalLinkPath" Target="/0%20PROJEKTY/2024_PROJEKTY/JIHLAVA_&#352;KROUPOVA_DUSP/ROZPO&#268;ET/ROZPO&#268;ET_EXCEL/DSO_302_I_4_KANALIZACNI_ODBO&#268;EN&#205;_&#268;P_850_4.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P:\0%20PROJEKTY\2024_PROJEKTY\JIHLAVA_&#352;KROUPOVA\ROZPO&#268;ET\ROZPO&#268;ET_EXCEL\DSO_302_I_5_KANALIZACNI_ODBO&#268;EN&#205;_&#268;P_5073_1.xlsx" TargetMode="External"/><Relationship Id="rId1" Type="http://schemas.openxmlformats.org/officeDocument/2006/relationships/externalLinkPath" Target="/0%20PROJEKTY/2024_PROJEKTY/JIHLAVA_&#352;KROUPOVA_DUSP/ROZPO&#268;ET/ROZPO&#268;ET_EXCEL/DSO_302_I_5_KANALIZACNI_ODBO&#268;EN&#205;_&#268;P_5073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tavební rozpočet"/>
      <sheetName val="Krycí list rozpočtu"/>
      <sheetName val="VORN"/>
    </sheetNames>
    <sheetDataSet>
      <sheetData sheetId="0" refreshError="1"/>
      <sheetData sheetId="1" refreshError="1"/>
      <sheetData sheetId="2">
        <row r="36">
          <cell r="I36">
            <v>0</v>
          </cell>
        </row>
      </sheetData>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licka@projekceklicka.cz" TargetMode="Externa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1.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2.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3.bin"/><Relationship Id="rId4" Type="http://schemas.openxmlformats.org/officeDocument/2006/relationships/comments" Target="../comments12.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4.bin"/><Relationship Id="rId4" Type="http://schemas.openxmlformats.org/officeDocument/2006/relationships/comments" Target="../comments13.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5.bin"/><Relationship Id="rId4" Type="http://schemas.openxmlformats.org/officeDocument/2006/relationships/comments" Target="../comments14.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6.bin"/><Relationship Id="rId4" Type="http://schemas.openxmlformats.org/officeDocument/2006/relationships/comments" Target="../comments15.xml"/></Relationships>
</file>

<file path=xl/worksheets/_rels/sheet17.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8.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tabColor theme="7" tint="0.79998168889431442"/>
    <pageSetUpPr fitToPage="1"/>
  </sheetPr>
  <dimension ref="A1:M45"/>
  <sheetViews>
    <sheetView view="pageBreakPreview" topLeftCell="A7" zoomScaleNormal="100" zoomScaleSheetLayoutView="100" workbookViewId="0">
      <selection activeCell="F42" sqref="F42"/>
    </sheetView>
  </sheetViews>
  <sheetFormatPr defaultColWidth="9.140625" defaultRowHeight="12.75" x14ac:dyDescent="0.2"/>
  <cols>
    <col min="1" max="1" width="8" style="1" customWidth="1"/>
    <col min="2" max="2" width="8.28515625" style="1" customWidth="1"/>
    <col min="3" max="3" width="19" style="1" customWidth="1"/>
    <col min="4" max="4" width="85.7109375" style="1" customWidth="1"/>
    <col min="5" max="5" width="26.140625" style="1" customWidth="1"/>
    <col min="6" max="6" width="25.42578125" style="1" customWidth="1"/>
    <col min="7" max="7" width="25.7109375" style="1" customWidth="1"/>
    <col min="8" max="8" width="27" style="1" customWidth="1"/>
    <col min="9" max="9" width="1.7109375" style="1" customWidth="1"/>
    <col min="10" max="10" width="9.140625" style="1"/>
    <col min="11" max="11" width="15.85546875" style="1" bestFit="1" customWidth="1"/>
    <col min="12" max="16384" width="9.140625" style="1"/>
  </cols>
  <sheetData>
    <row r="1" spans="1:13" ht="20.100000000000001" customHeight="1" x14ac:dyDescent="0.25">
      <c r="A1" s="3" t="s">
        <v>5</v>
      </c>
      <c r="C1" s="2"/>
    </row>
    <row r="2" spans="1:13" ht="5.25" customHeight="1" x14ac:dyDescent="0.25">
      <c r="A2" s="3"/>
      <c r="C2" s="2"/>
    </row>
    <row r="3" spans="1:13" ht="35.1" customHeight="1" x14ac:dyDescent="0.25">
      <c r="A3" s="221" t="s">
        <v>6</v>
      </c>
      <c r="B3" s="221"/>
      <c r="C3" s="232" t="s">
        <v>39</v>
      </c>
      <c r="D3" s="232"/>
      <c r="E3" s="232"/>
      <c r="F3" s="232"/>
      <c r="G3" s="232"/>
      <c r="H3" s="232"/>
    </row>
    <row r="4" spans="1:13" ht="23.25" customHeight="1" x14ac:dyDescent="0.25">
      <c r="A4" s="221" t="s">
        <v>7</v>
      </c>
      <c r="B4" s="221"/>
      <c r="C4" s="5" t="s">
        <v>40</v>
      </c>
      <c r="D4" s="6"/>
      <c r="E4" s="6"/>
      <c r="F4" s="6"/>
      <c r="G4" s="6"/>
      <c r="H4" s="6"/>
    </row>
    <row r="5" spans="1:13" ht="23.25" customHeight="1" x14ac:dyDescent="0.25">
      <c r="A5" s="233" t="s">
        <v>32</v>
      </c>
      <c r="B5" s="221"/>
      <c r="C5" s="5" t="s">
        <v>41</v>
      </c>
      <c r="D5" s="6"/>
      <c r="E5" s="56" t="s">
        <v>36</v>
      </c>
      <c r="F5" s="55" t="s">
        <v>37</v>
      </c>
      <c r="G5" s="6"/>
      <c r="H5" s="6"/>
    </row>
    <row r="6" spans="1:13" ht="23.25" customHeight="1" thickBot="1" x14ac:dyDescent="0.3">
      <c r="A6" s="221" t="s">
        <v>8</v>
      </c>
      <c r="B6" s="221"/>
      <c r="C6" s="57" t="s">
        <v>38</v>
      </c>
      <c r="D6" s="6"/>
      <c r="E6" s="6"/>
      <c r="F6" s="6"/>
      <c r="G6" s="6"/>
      <c r="H6" s="6"/>
    </row>
    <row r="7" spans="1:13" ht="27.95" customHeight="1" x14ac:dyDescent="0.2">
      <c r="A7" s="221" t="s">
        <v>9</v>
      </c>
      <c r="B7" s="221"/>
      <c r="C7" s="231" t="s">
        <v>42</v>
      </c>
      <c r="D7" s="231"/>
      <c r="E7" s="15"/>
      <c r="F7" s="222" t="s">
        <v>1235</v>
      </c>
      <c r="G7" s="223"/>
      <c r="H7" s="224"/>
      <c r="I7" s="16"/>
      <c r="J7" s="16"/>
      <c r="K7" s="16"/>
      <c r="L7" s="16"/>
      <c r="M7" s="16"/>
    </row>
    <row r="8" spans="1:13" ht="18" customHeight="1" x14ac:dyDescent="0.25">
      <c r="A8" s="221" t="s">
        <v>10</v>
      </c>
      <c r="B8" s="221"/>
      <c r="C8" s="57" t="s">
        <v>35</v>
      </c>
      <c r="D8" s="15"/>
      <c r="E8" s="15"/>
      <c r="F8" s="225"/>
      <c r="G8" s="226"/>
      <c r="H8" s="227"/>
      <c r="I8" s="16"/>
      <c r="J8" s="16"/>
      <c r="K8" s="16"/>
      <c r="L8" s="16"/>
      <c r="M8" s="16"/>
    </row>
    <row r="9" spans="1:13" ht="18" customHeight="1" thickBot="1" x14ac:dyDescent="0.3">
      <c r="A9" s="221" t="s">
        <v>11</v>
      </c>
      <c r="B9" s="221"/>
      <c r="C9" s="58">
        <v>45454</v>
      </c>
      <c r="D9" s="15"/>
      <c r="E9" s="15"/>
      <c r="F9" s="228"/>
      <c r="G9" s="229"/>
      <c r="H9" s="230"/>
      <c r="I9" s="16"/>
      <c r="J9" s="16"/>
      <c r="K9" s="16"/>
      <c r="L9" s="16"/>
      <c r="M9" s="16"/>
    </row>
    <row r="10" spans="1:13" ht="6" customHeight="1" thickBot="1" x14ac:dyDescent="0.3">
      <c r="D10" s="7"/>
      <c r="E10" s="7"/>
      <c r="F10" s="4"/>
      <c r="G10" s="4"/>
      <c r="H10" s="4"/>
    </row>
    <row r="11" spans="1:13" ht="39" customHeight="1" x14ac:dyDescent="0.2">
      <c r="A11" s="21" t="s">
        <v>12</v>
      </c>
      <c r="B11" s="240" t="s">
        <v>13</v>
      </c>
      <c r="C11" s="240"/>
      <c r="D11" s="22" t="s">
        <v>14</v>
      </c>
      <c r="E11" s="22" t="s">
        <v>15</v>
      </c>
      <c r="F11" s="22" t="s">
        <v>16</v>
      </c>
      <c r="G11" s="22" t="s">
        <v>4</v>
      </c>
      <c r="H11" s="23" t="s">
        <v>17</v>
      </c>
    </row>
    <row r="12" spans="1:13" ht="6" customHeight="1" x14ac:dyDescent="0.2">
      <c r="A12" s="241"/>
      <c r="B12" s="242"/>
      <c r="C12" s="242"/>
      <c r="D12" s="242"/>
      <c r="E12" s="242"/>
      <c r="F12" s="242"/>
      <c r="G12" s="242"/>
      <c r="H12" s="243"/>
    </row>
    <row r="13" spans="1:13" ht="15" hidden="1" x14ac:dyDescent="0.25">
      <c r="A13" s="24"/>
      <c r="B13" s="8"/>
      <c r="C13" s="9"/>
      <c r="D13" s="10" t="s">
        <v>18</v>
      </c>
      <c r="E13" s="10"/>
      <c r="F13" s="11"/>
      <c r="G13" s="11"/>
      <c r="H13" s="25"/>
    </row>
    <row r="14" spans="1:13" ht="15" hidden="1" x14ac:dyDescent="0.25">
      <c r="A14" s="24"/>
      <c r="B14" s="8"/>
      <c r="C14" s="9"/>
      <c r="D14" s="10" t="s">
        <v>19</v>
      </c>
      <c r="E14" s="10"/>
      <c r="F14" s="11"/>
      <c r="G14" s="11"/>
      <c r="H14" s="25"/>
    </row>
    <row r="15" spans="1:13" ht="15" hidden="1" x14ac:dyDescent="0.25">
      <c r="A15" s="24"/>
      <c r="B15" s="8"/>
      <c r="C15" s="9"/>
      <c r="D15" s="10" t="s">
        <v>20</v>
      </c>
      <c r="E15" s="10"/>
      <c r="F15" s="11"/>
      <c r="G15" s="11"/>
      <c r="H15" s="25"/>
    </row>
    <row r="16" spans="1:13" ht="15" hidden="1" customHeight="1" x14ac:dyDescent="0.25">
      <c r="A16" s="24"/>
      <c r="B16" s="8"/>
      <c r="C16" s="9"/>
      <c r="D16" s="12" t="s">
        <v>21</v>
      </c>
      <c r="E16" s="12"/>
      <c r="F16" s="13"/>
      <c r="G16" s="13">
        <v>18.5</v>
      </c>
      <c r="H16" s="26">
        <v>2100</v>
      </c>
    </row>
    <row r="17" spans="1:8" ht="15" hidden="1" x14ac:dyDescent="0.25">
      <c r="A17" s="24"/>
      <c r="B17" s="8"/>
      <c r="C17" s="9"/>
      <c r="D17" s="10" t="s">
        <v>22</v>
      </c>
      <c r="E17" s="10"/>
      <c r="F17" s="11"/>
      <c r="G17" s="11"/>
      <c r="H17" s="27"/>
    </row>
    <row r="18" spans="1:8" ht="15" hidden="1" customHeight="1" x14ac:dyDescent="0.25">
      <c r="A18" s="24"/>
      <c r="B18" s="8"/>
      <c r="C18" s="9"/>
      <c r="D18" s="12" t="s">
        <v>21</v>
      </c>
      <c r="E18" s="12"/>
      <c r="F18" s="13"/>
      <c r="G18" s="14">
        <v>387.5</v>
      </c>
      <c r="H18" s="28"/>
    </row>
    <row r="19" spans="1:8" ht="15" hidden="1" customHeight="1" x14ac:dyDescent="0.25">
      <c r="A19" s="24"/>
      <c r="B19" s="8"/>
      <c r="C19" s="9"/>
      <c r="D19" s="12" t="s">
        <v>23</v>
      </c>
      <c r="E19" s="12"/>
      <c r="F19" s="13"/>
      <c r="G19" s="14">
        <v>55</v>
      </c>
      <c r="H19" s="26">
        <v>2150</v>
      </c>
    </row>
    <row r="20" spans="1:8" ht="15" hidden="1" customHeight="1" x14ac:dyDescent="0.25">
      <c r="A20" s="24"/>
      <c r="B20" s="8"/>
      <c r="C20" s="9"/>
      <c r="D20" s="12" t="s">
        <v>24</v>
      </c>
      <c r="E20" s="12"/>
      <c r="F20" s="13"/>
      <c r="G20" s="14">
        <v>332.5</v>
      </c>
      <c r="H20" s="26">
        <v>1500</v>
      </c>
    </row>
    <row r="21" spans="1:8" ht="15" hidden="1" customHeight="1" x14ac:dyDescent="0.25">
      <c r="A21" s="24"/>
      <c r="B21" s="8"/>
      <c r="C21" s="9"/>
      <c r="D21" s="12" t="s">
        <v>2</v>
      </c>
      <c r="E21" s="12"/>
      <c r="F21" s="13"/>
      <c r="G21" s="13">
        <v>1</v>
      </c>
      <c r="H21" s="26">
        <v>75000</v>
      </c>
    </row>
    <row r="22" spans="1:8" ht="15" hidden="1" customHeight="1" x14ac:dyDescent="0.25">
      <c r="A22" s="24"/>
      <c r="B22" s="8"/>
      <c r="C22" s="9"/>
      <c r="D22" s="12" t="s">
        <v>3</v>
      </c>
      <c r="E22" s="12"/>
      <c r="F22" s="13"/>
      <c r="G22" s="13">
        <v>6</v>
      </c>
      <c r="H22" s="26">
        <v>10000</v>
      </c>
    </row>
    <row r="23" spans="1:8" ht="27.75" customHeight="1" x14ac:dyDescent="0.2">
      <c r="A23" s="48" t="s">
        <v>25</v>
      </c>
      <c r="B23" s="17"/>
      <c r="C23" s="17"/>
      <c r="D23" s="17"/>
      <c r="E23" s="18"/>
      <c r="F23" s="19"/>
      <c r="G23" s="20"/>
      <c r="H23" s="29"/>
    </row>
    <row r="24" spans="1:8" ht="23.25" customHeight="1" x14ac:dyDescent="0.2">
      <c r="A24" s="32" t="s">
        <v>27</v>
      </c>
      <c r="B24" s="33" t="s">
        <v>33</v>
      </c>
      <c r="C24" s="34"/>
      <c r="D24" s="35" t="s">
        <v>26</v>
      </c>
      <c r="E24" s="36"/>
      <c r="F24" s="37">
        <f>'SO 001 VRN'!J130</f>
        <v>0</v>
      </c>
      <c r="G24" s="38">
        <f>F24*0.21</f>
        <v>0</v>
      </c>
      <c r="H24" s="39">
        <f>F24+G24</f>
        <v>0</v>
      </c>
    </row>
    <row r="25" spans="1:8" ht="23.25" customHeight="1" x14ac:dyDescent="0.2">
      <c r="A25" s="40" t="s">
        <v>28</v>
      </c>
      <c r="B25" s="33" t="s">
        <v>43</v>
      </c>
      <c r="C25" s="34"/>
      <c r="D25" s="35" t="s">
        <v>44</v>
      </c>
      <c r="E25" s="36"/>
      <c r="F25" s="38">
        <f>SUM(F26,E27:E30,F31)</f>
        <v>0</v>
      </c>
      <c r="G25" s="38">
        <f>F25*0.21</f>
        <v>0</v>
      </c>
      <c r="H25" s="39">
        <f>F25+G25</f>
        <v>0</v>
      </c>
    </row>
    <row r="26" spans="1:8" ht="20.100000000000001" customHeight="1" x14ac:dyDescent="0.2">
      <c r="A26" s="59" t="s">
        <v>29</v>
      </c>
      <c r="B26" s="60" t="s">
        <v>45</v>
      </c>
      <c r="C26" s="61"/>
      <c r="D26" s="62" t="s">
        <v>46</v>
      </c>
      <c r="E26" s="65"/>
      <c r="F26" s="63">
        <f>'SO 301.I.'!J212</f>
        <v>0</v>
      </c>
      <c r="G26" s="63">
        <f>F26*0.21</f>
        <v>0</v>
      </c>
      <c r="H26" s="64">
        <f>F26+G26</f>
        <v>0</v>
      </c>
    </row>
    <row r="27" spans="1:8" ht="18" customHeight="1" x14ac:dyDescent="0.2">
      <c r="A27" s="30" t="s">
        <v>47</v>
      </c>
      <c r="B27" s="45" t="s">
        <v>51</v>
      </c>
      <c r="C27" s="31"/>
      <c r="D27" s="46" t="s">
        <v>55</v>
      </c>
      <c r="E27" s="41">
        <f>'DSO 301.I.1.'!J96</f>
        <v>0</v>
      </c>
      <c r="F27" s="42"/>
      <c r="G27" s="43">
        <f>E27*0.21</f>
        <v>0</v>
      </c>
      <c r="H27" s="44">
        <f t="shared" ref="H27" si="0">SUM(E27,G27)</f>
        <v>0</v>
      </c>
    </row>
    <row r="28" spans="1:8" ht="18" customHeight="1" x14ac:dyDescent="0.2">
      <c r="A28" s="30" t="s">
        <v>48</v>
      </c>
      <c r="B28" s="45" t="s">
        <v>52</v>
      </c>
      <c r="C28" s="31"/>
      <c r="D28" s="46" t="s">
        <v>56</v>
      </c>
      <c r="E28" s="41">
        <f>'DSO 301.I.2.'!J91</f>
        <v>0</v>
      </c>
      <c r="F28" s="42"/>
      <c r="G28" s="43">
        <f>E28*0.21</f>
        <v>0</v>
      </c>
      <c r="H28" s="44">
        <f t="shared" ref="H28" si="1">SUM(E28,G28)</f>
        <v>0</v>
      </c>
    </row>
    <row r="29" spans="1:8" ht="18" customHeight="1" x14ac:dyDescent="0.2">
      <c r="A29" s="30" t="s">
        <v>49</v>
      </c>
      <c r="B29" s="45" t="s">
        <v>53</v>
      </c>
      <c r="C29" s="31"/>
      <c r="D29" s="46" t="s">
        <v>57</v>
      </c>
      <c r="E29" s="41">
        <f>'DSO 301.I.3.'!J106</f>
        <v>0</v>
      </c>
      <c r="F29" s="42"/>
      <c r="G29" s="43">
        <f>E29*0.21</f>
        <v>0</v>
      </c>
      <c r="H29" s="44">
        <f t="shared" ref="H29:H30" si="2">SUM(E29,G29)</f>
        <v>0</v>
      </c>
    </row>
    <row r="30" spans="1:8" ht="18" customHeight="1" x14ac:dyDescent="0.2">
      <c r="A30" s="30" t="s">
        <v>50</v>
      </c>
      <c r="B30" s="45" t="s">
        <v>54</v>
      </c>
      <c r="C30" s="31"/>
      <c r="D30" s="46" t="s">
        <v>58</v>
      </c>
      <c r="E30" s="41">
        <f>'DSO 301.I.4.'!J102</f>
        <v>0</v>
      </c>
      <c r="F30" s="42"/>
      <c r="G30" s="43">
        <f>E30*0.21</f>
        <v>0</v>
      </c>
      <c r="H30" s="44">
        <f t="shared" si="2"/>
        <v>0</v>
      </c>
    </row>
    <row r="31" spans="1:8" ht="20.100000000000001" customHeight="1" x14ac:dyDescent="0.2">
      <c r="A31" s="59" t="s">
        <v>30</v>
      </c>
      <c r="B31" s="60" t="s">
        <v>59</v>
      </c>
      <c r="C31" s="61"/>
      <c r="D31" s="62" t="s">
        <v>60</v>
      </c>
      <c r="E31" s="65"/>
      <c r="F31" s="63">
        <f>'SO 301.II.'!J203</f>
        <v>0</v>
      </c>
      <c r="G31" s="63">
        <f>F31*0.21</f>
        <v>0</v>
      </c>
      <c r="H31" s="64">
        <f>F31+G31</f>
        <v>0</v>
      </c>
    </row>
    <row r="32" spans="1:8" ht="23.25" customHeight="1" x14ac:dyDescent="0.2">
      <c r="A32" s="40" t="s">
        <v>31</v>
      </c>
      <c r="B32" s="33" t="s">
        <v>61</v>
      </c>
      <c r="C32" s="34"/>
      <c r="D32" s="35" t="s">
        <v>62</v>
      </c>
      <c r="E32" s="36"/>
      <c r="F32" s="38">
        <f>SUM(F33,E34:E38,F39,E40)</f>
        <v>0</v>
      </c>
      <c r="G32" s="38">
        <f>F32*0.21</f>
        <v>0</v>
      </c>
      <c r="H32" s="39">
        <f>F32+G32</f>
        <v>0</v>
      </c>
    </row>
    <row r="33" spans="1:8" ht="20.100000000000001" customHeight="1" x14ac:dyDescent="0.2">
      <c r="A33" s="59" t="s">
        <v>34</v>
      </c>
      <c r="B33" s="60" t="s">
        <v>63</v>
      </c>
      <c r="C33" s="61"/>
      <c r="D33" s="62" t="s">
        <v>64</v>
      </c>
      <c r="E33" s="65"/>
      <c r="F33" s="63">
        <f>'SO 302.I.'!J169</f>
        <v>0</v>
      </c>
      <c r="G33" s="63">
        <f>F33*0.21</f>
        <v>0</v>
      </c>
      <c r="H33" s="64">
        <f>F33+G33</f>
        <v>0</v>
      </c>
    </row>
    <row r="34" spans="1:8" ht="18" customHeight="1" x14ac:dyDescent="0.2">
      <c r="A34" s="30" t="s">
        <v>65</v>
      </c>
      <c r="B34" s="45" t="s">
        <v>70</v>
      </c>
      <c r="C34" s="31"/>
      <c r="D34" s="46" t="s">
        <v>954</v>
      </c>
      <c r="E34" s="41">
        <f>'DSO 302.I.1.'!J104</f>
        <v>0</v>
      </c>
      <c r="F34" s="42"/>
      <c r="G34" s="43">
        <f>E34*0.21</f>
        <v>0</v>
      </c>
      <c r="H34" s="44">
        <f t="shared" ref="H34:H37" si="3">SUM(E34,G34)</f>
        <v>0</v>
      </c>
    </row>
    <row r="35" spans="1:8" ht="18" customHeight="1" x14ac:dyDescent="0.2">
      <c r="A35" s="30" t="s">
        <v>66</v>
      </c>
      <c r="B35" s="45" t="s">
        <v>76</v>
      </c>
      <c r="C35" s="31"/>
      <c r="D35" s="46" t="s">
        <v>71</v>
      </c>
      <c r="E35" s="41">
        <f>'DSO 302.I.2.'!J91</f>
        <v>0</v>
      </c>
      <c r="F35" s="42"/>
      <c r="G35" s="43">
        <f>E35*0.21</f>
        <v>0</v>
      </c>
      <c r="H35" s="44">
        <f t="shared" si="3"/>
        <v>0</v>
      </c>
    </row>
    <row r="36" spans="1:8" ht="18" customHeight="1" x14ac:dyDescent="0.2">
      <c r="A36" s="30" t="s">
        <v>67</v>
      </c>
      <c r="B36" s="45" t="s">
        <v>77</v>
      </c>
      <c r="C36" s="31"/>
      <c r="D36" s="46" t="s">
        <v>72</v>
      </c>
      <c r="E36" s="41">
        <f>'DSO 302.I.3.'!J89</f>
        <v>0</v>
      </c>
      <c r="F36" s="42"/>
      <c r="G36" s="43">
        <f>E36*0.21</f>
        <v>0</v>
      </c>
      <c r="H36" s="44">
        <f t="shared" si="3"/>
        <v>0</v>
      </c>
    </row>
    <row r="37" spans="1:8" ht="18" customHeight="1" x14ac:dyDescent="0.2">
      <c r="A37" s="30" t="s">
        <v>68</v>
      </c>
      <c r="B37" s="45" t="s">
        <v>78</v>
      </c>
      <c r="C37" s="31"/>
      <c r="D37" s="46" t="s">
        <v>73</v>
      </c>
      <c r="E37" s="41">
        <f>'DSO 302.I.4.'!J89</f>
        <v>0</v>
      </c>
      <c r="F37" s="42"/>
      <c r="G37" s="43">
        <f>E37*0.21</f>
        <v>0</v>
      </c>
      <c r="H37" s="44">
        <f t="shared" si="3"/>
        <v>0</v>
      </c>
    </row>
    <row r="38" spans="1:8" ht="18" customHeight="1" x14ac:dyDescent="0.2">
      <c r="A38" s="30" t="s">
        <v>69</v>
      </c>
      <c r="B38" s="45" t="s">
        <v>78</v>
      </c>
      <c r="C38" s="31"/>
      <c r="D38" s="46" t="s">
        <v>74</v>
      </c>
      <c r="E38" s="41">
        <f>'DSO 302.I.5.'!J92</f>
        <v>0</v>
      </c>
      <c r="F38" s="42"/>
      <c r="G38" s="43">
        <f>E38*0.21</f>
        <v>0</v>
      </c>
      <c r="H38" s="44">
        <f t="shared" ref="H38" si="4">SUM(E38,G38)</f>
        <v>0</v>
      </c>
    </row>
    <row r="39" spans="1:8" ht="20.100000000000001" customHeight="1" x14ac:dyDescent="0.2">
      <c r="A39" s="59" t="s">
        <v>80</v>
      </c>
      <c r="B39" s="60" t="s">
        <v>79</v>
      </c>
      <c r="C39" s="61"/>
      <c r="D39" s="62" t="s">
        <v>75</v>
      </c>
      <c r="E39" s="65"/>
      <c r="F39" s="63">
        <f>'SO 302.II.'!J180</f>
        <v>0</v>
      </c>
      <c r="G39" s="63">
        <f>F39*0.21</f>
        <v>0</v>
      </c>
      <c r="H39" s="64">
        <f>F39+G39</f>
        <v>0</v>
      </c>
    </row>
    <row r="40" spans="1:8" ht="20.100000000000001" customHeight="1" x14ac:dyDescent="0.2">
      <c r="A40" s="30" t="s">
        <v>81</v>
      </c>
      <c r="B40" s="45" t="s">
        <v>82</v>
      </c>
      <c r="C40" s="31"/>
      <c r="D40" s="46" t="s">
        <v>83</v>
      </c>
      <c r="E40" s="41">
        <f>'DSO 302.II.1.'!J78</f>
        <v>0</v>
      </c>
      <c r="F40" s="42"/>
      <c r="G40" s="43">
        <f>E40*0.21</f>
        <v>0</v>
      </c>
      <c r="H40" s="44">
        <f t="shared" ref="H40" si="5">SUM(E40,G40)</f>
        <v>0</v>
      </c>
    </row>
    <row r="41" spans="1:8" ht="23.25" customHeight="1" thickBot="1" x14ac:dyDescent="0.25">
      <c r="A41" s="40" t="s">
        <v>1209</v>
      </c>
      <c r="B41" s="33" t="s">
        <v>1208</v>
      </c>
      <c r="C41" s="34"/>
      <c r="D41" s="35" t="s">
        <v>1210</v>
      </c>
      <c r="E41" s="36"/>
      <c r="F41" s="38">
        <f>'SO 303'!J23</f>
        <v>0</v>
      </c>
      <c r="G41" s="38">
        <f>F41*0.21</f>
        <v>0</v>
      </c>
      <c r="H41" s="39">
        <f>F41+G41</f>
        <v>0</v>
      </c>
    </row>
    <row r="42" spans="1:8" ht="24.6" customHeight="1" thickBot="1" x14ac:dyDescent="0.25">
      <c r="A42" s="49" t="s">
        <v>0</v>
      </c>
      <c r="B42" s="50"/>
      <c r="C42" s="50"/>
      <c r="D42" s="50"/>
      <c r="E42" s="51"/>
      <c r="F42" s="47">
        <f>SUM(F24,F25,F32,F41)</f>
        <v>0</v>
      </c>
      <c r="G42" s="47">
        <f>F42*0.21</f>
        <v>0</v>
      </c>
      <c r="H42" s="47">
        <f>F42+G42</f>
        <v>0</v>
      </c>
    </row>
    <row r="43" spans="1:8" ht="15" hidden="1" customHeight="1" x14ac:dyDescent="0.2">
      <c r="A43" s="234"/>
      <c r="B43" s="235"/>
      <c r="C43" s="235"/>
      <c r="D43" s="235"/>
      <c r="E43" s="235"/>
      <c r="F43" s="235"/>
      <c r="G43" s="235"/>
      <c r="H43" s="236"/>
    </row>
    <row r="44" spans="1:8" ht="9.9499999999999993" customHeight="1" thickBot="1" x14ac:dyDescent="0.25">
      <c r="A44" s="234"/>
      <c r="B44" s="235"/>
      <c r="C44" s="235"/>
      <c r="D44" s="235"/>
      <c r="E44" s="235"/>
      <c r="F44" s="235"/>
      <c r="G44" s="235"/>
      <c r="H44" s="236"/>
    </row>
    <row r="45" spans="1:8" ht="27.75" customHeight="1" thickBot="1" x14ac:dyDescent="0.25">
      <c r="A45" s="237" t="s">
        <v>1</v>
      </c>
      <c r="B45" s="238"/>
      <c r="C45" s="238"/>
      <c r="D45" s="238"/>
      <c r="E45" s="239"/>
      <c r="F45" s="52">
        <f>F42</f>
        <v>0</v>
      </c>
      <c r="G45" s="53">
        <f>F45*0.21</f>
        <v>0</v>
      </c>
      <c r="H45" s="54">
        <f>F45+G45</f>
        <v>0</v>
      </c>
    </row>
  </sheetData>
  <sheetProtection algorithmName="SHA-512" hashValue="HztLgchh87LonbrMk5NSlLY/5X4DmdlVHDDFPvzSJeiE9mH4QIoPRIVjLs43wOzfqmgyBbHfKJeipGlziF0cFA==" saltValue="iagN3yI+2HJ75ESQfIIVmg==" spinCount="100000" sheet="1" formatCells="0" formatColumns="0" formatRows="0" insertColumns="0" insertRows="0"/>
  <mergeCells count="15">
    <mergeCell ref="A44:H44"/>
    <mergeCell ref="A45:E45"/>
    <mergeCell ref="A43:H43"/>
    <mergeCell ref="B11:C11"/>
    <mergeCell ref="A12:H12"/>
    <mergeCell ref="A3:B3"/>
    <mergeCell ref="C3:H3"/>
    <mergeCell ref="A4:B4"/>
    <mergeCell ref="A5:B5"/>
    <mergeCell ref="A6:B6"/>
    <mergeCell ref="A7:B7"/>
    <mergeCell ref="F7:H9"/>
    <mergeCell ref="A8:B8"/>
    <mergeCell ref="A9:B9"/>
    <mergeCell ref="C7:D7"/>
  </mergeCells>
  <phoneticPr fontId="16" type="noConversion"/>
  <hyperlinks>
    <hyperlink ref="F5" r:id="rId1" display="klicka@projekceklicka.cz" xr:uid="{00000000-0004-0000-0000-000002000000}"/>
  </hyperlinks>
  <pageMargins left="0.78740157480314965" right="0.39370078740157483" top="0.39370078740157483" bottom="0.39370078740157483" header="0.39370078740157483" footer="0.59055118110236227"/>
  <pageSetup paperSize="9" scale="60" firstPageNumber="0" fitToHeight="0" orientation="landscape" r:id="rId2"/>
  <headerFooter>
    <oddFooter>&amp;L&amp;9&amp;A&amp;C&amp;9&amp;F&amp;R&amp;9stran &amp;N / strana &amp;P</oddFooter>
  </headerFooter>
  <rowBreaks count="1" manualBreakCount="1">
    <brk id="45" max="8"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C80A3-F447-443F-A680-7711E732EEC9}">
  <sheetPr codeName="List9">
    <pageSetUpPr fitToPage="1"/>
  </sheetPr>
  <dimension ref="A1:BV106"/>
  <sheetViews>
    <sheetView view="pageBreakPreview" zoomScale="55" zoomScaleNormal="55" zoomScaleSheetLayoutView="55" workbookViewId="0">
      <pane ySplit="11" topLeftCell="A12" activePane="bottomLeft" state="frozen"/>
      <selection activeCell="D44" sqref="D44"/>
      <selection pane="bottomLeft" activeCell="C44" sqref="C44:D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64.285156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85</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955</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96</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SUM(H13:H19)</f>
        <v>0</v>
      </c>
      <c r="I12" s="100">
        <f>SUM(I13:I19)</f>
        <v>0</v>
      </c>
      <c r="J12" s="100">
        <f>SUM(J13:J19)</f>
        <v>0</v>
      </c>
      <c r="K12" s="101" t="s">
        <v>129</v>
      </c>
      <c r="L12" s="100">
        <f>SUM(L13:L19)</f>
        <v>18.113895100000001</v>
      </c>
      <c r="M12" s="102" t="s">
        <v>129</v>
      </c>
      <c r="AG12" s="71" t="s">
        <v>129</v>
      </c>
      <c r="AQ12" s="67">
        <f>SUM(AH13:AH19)</f>
        <v>0</v>
      </c>
      <c r="AR12" s="67">
        <f>SUM(AI13:AI19)</f>
        <v>0</v>
      </c>
      <c r="AS12" s="67">
        <f>SUM(AJ13:AJ19)</f>
        <v>0</v>
      </c>
    </row>
    <row r="13" spans="1:74" x14ac:dyDescent="0.25">
      <c r="A13" s="92" t="s">
        <v>132</v>
      </c>
      <c r="B13" s="69" t="s">
        <v>143</v>
      </c>
      <c r="C13" s="306" t="s">
        <v>144</v>
      </c>
      <c r="D13" s="307"/>
      <c r="E13" s="69" t="s">
        <v>145</v>
      </c>
      <c r="F13" s="77">
        <v>4.59</v>
      </c>
      <c r="G13" s="218">
        <v>0</v>
      </c>
      <c r="H13" s="77">
        <f>F13*AM13</f>
        <v>0</v>
      </c>
      <c r="I13" s="77">
        <f>F13*AN13</f>
        <v>0</v>
      </c>
      <c r="J13" s="77">
        <f>F13*G13</f>
        <v>0</v>
      </c>
      <c r="K13" s="77">
        <v>8.6899999999999998E-3</v>
      </c>
      <c r="L13" s="77">
        <f>F13*K13</f>
        <v>3.9887099999999995E-2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G13*0.061948933</f>
        <v>0</v>
      </c>
      <c r="AN13" s="77">
        <f>G13*(1-0.061948933)</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3.9887099999999995E-2</v>
      </c>
      <c r="BF13" s="77">
        <f>F13*AM13</f>
        <v>0</v>
      </c>
      <c r="BG13" s="77">
        <f>F13*AN13</f>
        <v>0</v>
      </c>
      <c r="BH13" s="77">
        <f>F13*G13</f>
        <v>0</v>
      </c>
      <c r="BI13" s="77"/>
      <c r="BJ13" s="77">
        <v>11</v>
      </c>
      <c r="BU13" s="77" t="e">
        <f>#REF!</f>
        <v>#REF!</v>
      </c>
      <c r="BV13" s="70" t="s">
        <v>144</v>
      </c>
    </row>
    <row r="14" spans="1:74" ht="40.5" customHeight="1" x14ac:dyDescent="0.25">
      <c r="A14" s="104"/>
      <c r="B14" s="81" t="s">
        <v>138</v>
      </c>
      <c r="C14" s="303" t="s">
        <v>903</v>
      </c>
      <c r="D14" s="304"/>
      <c r="E14" s="304"/>
      <c r="F14" s="304"/>
      <c r="G14" s="304"/>
      <c r="H14" s="304"/>
      <c r="I14" s="304"/>
      <c r="J14" s="304"/>
      <c r="K14" s="304"/>
      <c r="L14" s="304"/>
      <c r="M14" s="305"/>
    </row>
    <row r="15" spans="1:74" x14ac:dyDescent="0.25">
      <c r="A15" s="92" t="s">
        <v>142</v>
      </c>
      <c r="B15" s="69" t="s">
        <v>487</v>
      </c>
      <c r="C15" s="306" t="s">
        <v>488</v>
      </c>
      <c r="D15" s="307"/>
      <c r="E15" s="69" t="s">
        <v>156</v>
      </c>
      <c r="F15" s="77">
        <v>16</v>
      </c>
      <c r="G15" s="218">
        <v>0</v>
      </c>
      <c r="H15" s="77">
        <f>F15*AM15</f>
        <v>0</v>
      </c>
      <c r="I15" s="77">
        <f>F15*AN15</f>
        <v>0</v>
      </c>
      <c r="J15" s="77">
        <f>F15*G15</f>
        <v>0</v>
      </c>
      <c r="K15" s="77">
        <v>0</v>
      </c>
      <c r="L15" s="77">
        <f>F15*K15</f>
        <v>0</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f>
        <v>0</v>
      </c>
      <c r="AN15" s="77">
        <f>G15*(1-0)</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0</v>
      </c>
      <c r="BF15" s="77">
        <f>F15*AM15</f>
        <v>0</v>
      </c>
      <c r="BG15" s="77">
        <f>F15*AN15</f>
        <v>0</v>
      </c>
      <c r="BH15" s="77">
        <f>F15*G15</f>
        <v>0</v>
      </c>
      <c r="BI15" s="77"/>
      <c r="BJ15" s="77">
        <v>11</v>
      </c>
      <c r="BU15" s="77" t="e">
        <f>#REF!</f>
        <v>#REF!</v>
      </c>
      <c r="BV15" s="70" t="s">
        <v>488</v>
      </c>
    </row>
    <row r="16" spans="1:74" ht="40.5" customHeight="1" x14ac:dyDescent="0.25">
      <c r="A16" s="104"/>
      <c r="B16" s="81" t="s">
        <v>138</v>
      </c>
      <c r="C16" s="303" t="s">
        <v>904</v>
      </c>
      <c r="D16" s="304"/>
      <c r="E16" s="304"/>
      <c r="F16" s="304"/>
      <c r="G16" s="304"/>
      <c r="H16" s="304"/>
      <c r="I16" s="304"/>
      <c r="J16" s="304"/>
      <c r="K16" s="304"/>
      <c r="L16" s="304"/>
      <c r="M16" s="305"/>
    </row>
    <row r="17" spans="1:74" x14ac:dyDescent="0.25">
      <c r="A17" s="92" t="s">
        <v>149</v>
      </c>
      <c r="B17" s="69" t="s">
        <v>490</v>
      </c>
      <c r="C17" s="306" t="s">
        <v>491</v>
      </c>
      <c r="D17" s="307"/>
      <c r="E17" s="69" t="s">
        <v>161</v>
      </c>
      <c r="F17" s="77">
        <v>2</v>
      </c>
      <c r="G17" s="218">
        <v>0</v>
      </c>
      <c r="H17" s="77">
        <f>F17*AM17</f>
        <v>0</v>
      </c>
      <c r="I17" s="77">
        <f>F17*AN17</f>
        <v>0</v>
      </c>
      <c r="J17" s="77">
        <f>F17*G17</f>
        <v>0</v>
      </c>
      <c r="K17" s="77">
        <v>0</v>
      </c>
      <c r="L17" s="77">
        <f>F17*K17</f>
        <v>0</v>
      </c>
      <c r="M17" s="103" t="s">
        <v>35</v>
      </c>
      <c r="X17" s="77">
        <f>IF(AO17="5",BH17,0)</f>
        <v>0</v>
      </c>
      <c r="Z17" s="77">
        <f>IF(AO17="1",BF17,0)</f>
        <v>0</v>
      </c>
      <c r="AA17" s="77">
        <f>IF(AO17="1",BG17,0)</f>
        <v>0</v>
      </c>
      <c r="AB17" s="77">
        <f>IF(AO17="7",BF17,0)</f>
        <v>0</v>
      </c>
      <c r="AC17" s="77">
        <f>IF(AO17="7",BG17,0)</f>
        <v>0</v>
      </c>
      <c r="AD17" s="77">
        <f>IF(AO17="2",BF17,0)</f>
        <v>0</v>
      </c>
      <c r="AE17" s="77">
        <f>IF(AO17="2",BG17,0)</f>
        <v>0</v>
      </c>
      <c r="AF17" s="77">
        <f>IF(AO17="0",BH17,0)</f>
        <v>0</v>
      </c>
      <c r="AG17" s="71" t="s">
        <v>129</v>
      </c>
      <c r="AH17" s="77">
        <f>IF(AL17=0,J17,0)</f>
        <v>0</v>
      </c>
      <c r="AI17" s="77">
        <f>IF(AL17=15,J17,0)</f>
        <v>0</v>
      </c>
      <c r="AJ17" s="77">
        <f>IF(AL17=21,J17,0)</f>
        <v>0</v>
      </c>
      <c r="AL17" s="77">
        <v>15</v>
      </c>
      <c r="AM17" s="77">
        <f>G17*0</f>
        <v>0</v>
      </c>
      <c r="AN17" s="77">
        <f>G17*(1-0)</f>
        <v>0</v>
      </c>
      <c r="AO17" s="79" t="s">
        <v>132</v>
      </c>
      <c r="AT17" s="77">
        <f>AU17+AV17</f>
        <v>0</v>
      </c>
      <c r="AU17" s="77">
        <f>F17*AM17</f>
        <v>0</v>
      </c>
      <c r="AV17" s="77">
        <f>F17*AN17</f>
        <v>0</v>
      </c>
      <c r="AW17" s="79" t="s">
        <v>146</v>
      </c>
      <c r="AX17" s="79" t="s">
        <v>147</v>
      </c>
      <c r="AY17" s="71" t="s">
        <v>137</v>
      </c>
      <c r="BA17" s="77">
        <f>AU17+AV17</f>
        <v>0</v>
      </c>
      <c r="BB17" s="77">
        <f>G17/(100-BC17)*100</f>
        <v>0</v>
      </c>
      <c r="BC17" s="77">
        <v>0</v>
      </c>
      <c r="BD17" s="77">
        <f>L17</f>
        <v>0</v>
      </c>
      <c r="BF17" s="77">
        <f>F17*AM17</f>
        <v>0</v>
      </c>
      <c r="BG17" s="77">
        <f>F17*AN17</f>
        <v>0</v>
      </c>
      <c r="BH17" s="77">
        <f>F17*G17</f>
        <v>0</v>
      </c>
      <c r="BI17" s="77"/>
      <c r="BJ17" s="77">
        <v>11</v>
      </c>
      <c r="BU17" s="77" t="e">
        <f>#REF!</f>
        <v>#REF!</v>
      </c>
      <c r="BV17" s="70" t="s">
        <v>491</v>
      </c>
    </row>
    <row r="18" spans="1:74" ht="40.5" customHeight="1" x14ac:dyDescent="0.25">
      <c r="A18" s="104"/>
      <c r="B18" s="81" t="s">
        <v>138</v>
      </c>
      <c r="C18" s="303" t="s">
        <v>905</v>
      </c>
      <c r="D18" s="304"/>
      <c r="E18" s="304"/>
      <c r="F18" s="304"/>
      <c r="G18" s="304"/>
      <c r="H18" s="304"/>
      <c r="I18" s="304"/>
      <c r="J18" s="304"/>
      <c r="K18" s="304"/>
      <c r="L18" s="304"/>
      <c r="M18" s="305"/>
    </row>
    <row r="19" spans="1:74" x14ac:dyDescent="0.25">
      <c r="A19" s="92" t="s">
        <v>153</v>
      </c>
      <c r="B19" s="69" t="s">
        <v>493</v>
      </c>
      <c r="C19" s="306" t="s">
        <v>494</v>
      </c>
      <c r="D19" s="307"/>
      <c r="E19" s="69" t="s">
        <v>166</v>
      </c>
      <c r="F19" s="77">
        <v>20.079999999999998</v>
      </c>
      <c r="G19" s="218">
        <v>0</v>
      </c>
      <c r="H19" s="77">
        <f>F19*AM19</f>
        <v>0</v>
      </c>
      <c r="I19" s="77">
        <f>F19*AN19</f>
        <v>0</v>
      </c>
      <c r="J19" s="77">
        <f>F19*G19</f>
        <v>0</v>
      </c>
      <c r="K19" s="77">
        <v>0.90010000000000001</v>
      </c>
      <c r="L19" s="77">
        <f>F19*K19</f>
        <v>18.074007999999999</v>
      </c>
      <c r="M19" s="103" t="s">
        <v>35</v>
      </c>
      <c r="X19" s="77">
        <f>IF(AO19="5",BH19,0)</f>
        <v>0</v>
      </c>
      <c r="Z19" s="77">
        <f>IF(AO19="1",BF19,0)</f>
        <v>0</v>
      </c>
      <c r="AA19" s="77">
        <f>IF(AO19="1",BG19,0)</f>
        <v>0</v>
      </c>
      <c r="AB19" s="77">
        <f>IF(AO19="7",BF19,0)</f>
        <v>0</v>
      </c>
      <c r="AC19" s="77">
        <f>IF(AO19="7",BG19,0)</f>
        <v>0</v>
      </c>
      <c r="AD19" s="77">
        <f>IF(AO19="2",BF19,0)</f>
        <v>0</v>
      </c>
      <c r="AE19" s="77">
        <f>IF(AO19="2",BG19,0)</f>
        <v>0</v>
      </c>
      <c r="AF19" s="77">
        <f>IF(AO19="0",BH19,0)</f>
        <v>0</v>
      </c>
      <c r="AG19" s="71" t="s">
        <v>129</v>
      </c>
      <c r="AH19" s="77">
        <f>IF(AL19=0,J19,0)</f>
        <v>0</v>
      </c>
      <c r="AI19" s="77">
        <f>IF(AL19=15,J19,0)</f>
        <v>0</v>
      </c>
      <c r="AJ19" s="77">
        <f>IF(AL19=21,J19,0)</f>
        <v>0</v>
      </c>
      <c r="AL19" s="77">
        <v>15</v>
      </c>
      <c r="AM19" s="77">
        <f>G19*0.006611197</f>
        <v>0</v>
      </c>
      <c r="AN19" s="77">
        <f>G19*(1-0.006611197)</f>
        <v>0</v>
      </c>
      <c r="AO19" s="79" t="s">
        <v>132</v>
      </c>
      <c r="AT19" s="77">
        <f>AU19+AV19</f>
        <v>0</v>
      </c>
      <c r="AU19" s="77">
        <f>F19*AM19</f>
        <v>0</v>
      </c>
      <c r="AV19" s="77">
        <f>F19*AN19</f>
        <v>0</v>
      </c>
      <c r="AW19" s="79" t="s">
        <v>146</v>
      </c>
      <c r="AX19" s="79" t="s">
        <v>147</v>
      </c>
      <c r="AY19" s="71" t="s">
        <v>137</v>
      </c>
      <c r="BA19" s="77">
        <f>AU19+AV19</f>
        <v>0</v>
      </c>
      <c r="BB19" s="77">
        <f>G19/(100-BC19)*100</f>
        <v>0</v>
      </c>
      <c r="BC19" s="77">
        <v>0</v>
      </c>
      <c r="BD19" s="77">
        <f>L19</f>
        <v>18.074007999999999</v>
      </c>
      <c r="BF19" s="77">
        <f>F19*AM19</f>
        <v>0</v>
      </c>
      <c r="BG19" s="77">
        <f>F19*AN19</f>
        <v>0</v>
      </c>
      <c r="BH19" s="77">
        <f>F19*G19</f>
        <v>0</v>
      </c>
      <c r="BI19" s="77"/>
      <c r="BJ19" s="77">
        <v>11</v>
      </c>
      <c r="BU19" s="77" t="e">
        <f>#REF!</f>
        <v>#REF!</v>
      </c>
      <c r="BV19" s="70" t="s">
        <v>494</v>
      </c>
    </row>
    <row r="20" spans="1:74" ht="162" customHeight="1" x14ac:dyDescent="0.25">
      <c r="A20" s="104"/>
      <c r="B20" s="81" t="s">
        <v>138</v>
      </c>
      <c r="C20" s="303" t="s">
        <v>906</v>
      </c>
      <c r="D20" s="304"/>
      <c r="E20" s="304"/>
      <c r="F20" s="304"/>
      <c r="G20" s="304"/>
      <c r="H20" s="304"/>
      <c r="I20" s="304"/>
      <c r="J20" s="304"/>
      <c r="K20" s="304"/>
      <c r="L20" s="304"/>
      <c r="M20" s="305"/>
    </row>
    <row r="21" spans="1:74" x14ac:dyDescent="0.25">
      <c r="A21" s="105" t="s">
        <v>129</v>
      </c>
      <c r="B21" s="74" t="s">
        <v>180</v>
      </c>
      <c r="C21" s="314" t="s">
        <v>181</v>
      </c>
      <c r="D21" s="315"/>
      <c r="E21" s="75" t="s">
        <v>87</v>
      </c>
      <c r="F21" s="75" t="s">
        <v>87</v>
      </c>
      <c r="G21" s="75" t="s">
        <v>87</v>
      </c>
      <c r="H21" s="67">
        <f>SUM(H22:H32)</f>
        <v>0</v>
      </c>
      <c r="I21" s="67">
        <f>SUM(I22:I32)</f>
        <v>0</v>
      </c>
      <c r="J21" s="67">
        <f>SUM(J22:J32)</f>
        <v>0</v>
      </c>
      <c r="K21" s="71" t="s">
        <v>129</v>
      </c>
      <c r="L21" s="67">
        <f>SUM(L22:L32)</f>
        <v>0</v>
      </c>
      <c r="M21" s="106" t="s">
        <v>129</v>
      </c>
      <c r="AG21" s="71" t="s">
        <v>129</v>
      </c>
      <c r="AQ21" s="67">
        <f>SUM(AH22:AH32)</f>
        <v>0</v>
      </c>
      <c r="AR21" s="67">
        <f>SUM(AI22:AI32)</f>
        <v>0</v>
      </c>
      <c r="AS21" s="67">
        <f>SUM(AJ22:AJ32)</f>
        <v>0</v>
      </c>
    </row>
    <row r="22" spans="1:74" x14ac:dyDescent="0.25">
      <c r="A22" s="92" t="s">
        <v>158</v>
      </c>
      <c r="B22" s="69" t="s">
        <v>825</v>
      </c>
      <c r="C22" s="306" t="s">
        <v>907</v>
      </c>
      <c r="D22" s="307"/>
      <c r="E22" s="69" t="s">
        <v>177</v>
      </c>
      <c r="F22" s="77">
        <v>10.63</v>
      </c>
      <c r="G22" s="218">
        <v>0</v>
      </c>
      <c r="H22" s="77">
        <f>F22*AM22</f>
        <v>0</v>
      </c>
      <c r="I22" s="77">
        <f>F22*AN22</f>
        <v>0</v>
      </c>
      <c r="J22" s="77">
        <f>F22*G22</f>
        <v>0</v>
      </c>
      <c r="K22" s="77">
        <v>0</v>
      </c>
      <c r="L22" s="77">
        <f>F22*K22</f>
        <v>0</v>
      </c>
      <c r="M22" s="103" t="s">
        <v>35</v>
      </c>
      <c r="X22" s="77">
        <f>IF(AO22="5",BH22,0)</f>
        <v>0</v>
      </c>
      <c r="Z22" s="77">
        <f>IF(AO22="1",BF22,0)</f>
        <v>0</v>
      </c>
      <c r="AA22" s="77">
        <f>IF(AO22="1",BG22,0)</f>
        <v>0</v>
      </c>
      <c r="AB22" s="77">
        <f>IF(AO22="7",BF22,0)</f>
        <v>0</v>
      </c>
      <c r="AC22" s="77">
        <f>IF(AO22="7",BG22,0)</f>
        <v>0</v>
      </c>
      <c r="AD22" s="77">
        <f>IF(AO22="2",BF22,0)</f>
        <v>0</v>
      </c>
      <c r="AE22" s="77">
        <f>IF(AO22="2",BG22,0)</f>
        <v>0</v>
      </c>
      <c r="AF22" s="77">
        <f>IF(AO22="0",BH22,0)</f>
        <v>0</v>
      </c>
      <c r="AG22" s="71" t="s">
        <v>129</v>
      </c>
      <c r="AH22" s="77">
        <f>IF(AL22=0,J22,0)</f>
        <v>0</v>
      </c>
      <c r="AI22" s="77">
        <f>IF(AL22=15,J22,0)</f>
        <v>0</v>
      </c>
      <c r="AJ22" s="77">
        <f>IF(AL22=21,J22,0)</f>
        <v>0</v>
      </c>
      <c r="AL22" s="77">
        <v>15</v>
      </c>
      <c r="AM22" s="77">
        <f>G22*0</f>
        <v>0</v>
      </c>
      <c r="AN22" s="77">
        <f>G22*(1-0)</f>
        <v>0</v>
      </c>
      <c r="AO22" s="79" t="s">
        <v>132</v>
      </c>
      <c r="AT22" s="77">
        <f>AU22+AV22</f>
        <v>0</v>
      </c>
      <c r="AU22" s="77">
        <f>F22*AM22</f>
        <v>0</v>
      </c>
      <c r="AV22" s="77">
        <f>F22*AN22</f>
        <v>0</v>
      </c>
      <c r="AW22" s="79" t="s">
        <v>185</v>
      </c>
      <c r="AX22" s="79" t="s">
        <v>147</v>
      </c>
      <c r="AY22" s="71" t="s">
        <v>137</v>
      </c>
      <c r="BA22" s="77">
        <f>AU22+AV22</f>
        <v>0</v>
      </c>
      <c r="BB22" s="77">
        <f>G22/(100-BC22)*100</f>
        <v>0</v>
      </c>
      <c r="BC22" s="77">
        <v>0</v>
      </c>
      <c r="BD22" s="77">
        <f>L22</f>
        <v>0</v>
      </c>
      <c r="BF22" s="77">
        <f>F22*AM22</f>
        <v>0</v>
      </c>
      <c r="BG22" s="77">
        <f>F22*AN22</f>
        <v>0</v>
      </c>
      <c r="BH22" s="77">
        <f>F22*G22</f>
        <v>0</v>
      </c>
      <c r="BI22" s="77"/>
      <c r="BJ22" s="77">
        <v>13</v>
      </c>
      <c r="BU22" s="77" t="e">
        <f>#REF!</f>
        <v>#REF!</v>
      </c>
      <c r="BV22" s="70" t="s">
        <v>907</v>
      </c>
    </row>
    <row r="23" spans="1:74" ht="121.5" customHeight="1" x14ac:dyDescent="0.25">
      <c r="A23" s="104"/>
      <c r="B23" s="81" t="s">
        <v>138</v>
      </c>
      <c r="C23" s="303" t="s">
        <v>908</v>
      </c>
      <c r="D23" s="304"/>
      <c r="E23" s="304"/>
      <c r="F23" s="304"/>
      <c r="G23" s="304"/>
      <c r="H23" s="304"/>
      <c r="I23" s="304"/>
      <c r="J23" s="304"/>
      <c r="K23" s="304"/>
      <c r="L23" s="304"/>
      <c r="M23" s="305"/>
    </row>
    <row r="24" spans="1:74" x14ac:dyDescent="0.25">
      <c r="A24" s="92" t="s">
        <v>163</v>
      </c>
      <c r="B24" s="69" t="s">
        <v>188</v>
      </c>
      <c r="C24" s="306" t="s">
        <v>909</v>
      </c>
      <c r="D24" s="307"/>
      <c r="E24" s="69" t="s">
        <v>177</v>
      </c>
      <c r="F24" s="77">
        <v>5.32</v>
      </c>
      <c r="G24" s="218">
        <v>0</v>
      </c>
      <c r="H24" s="77">
        <f>F24*AM24</f>
        <v>0</v>
      </c>
      <c r="I24" s="77">
        <f>F24*AN24</f>
        <v>0</v>
      </c>
      <c r="J24" s="77">
        <f>F24*G24</f>
        <v>0</v>
      </c>
      <c r="K24" s="77">
        <v>0</v>
      </c>
      <c r="L24" s="77">
        <f>F24*K24</f>
        <v>0</v>
      </c>
      <c r="M24" s="103" t="s">
        <v>35</v>
      </c>
      <c r="X24" s="77">
        <f>IF(AO24="5",BH24,0)</f>
        <v>0</v>
      </c>
      <c r="Z24" s="77">
        <f>IF(AO24="1",BF24,0)</f>
        <v>0</v>
      </c>
      <c r="AA24" s="77">
        <f>IF(AO24="1",BG24,0)</f>
        <v>0</v>
      </c>
      <c r="AB24" s="77">
        <f>IF(AO24="7",BF24,0)</f>
        <v>0</v>
      </c>
      <c r="AC24" s="77">
        <f>IF(AO24="7",BG24,0)</f>
        <v>0</v>
      </c>
      <c r="AD24" s="77">
        <f>IF(AO24="2",BF24,0)</f>
        <v>0</v>
      </c>
      <c r="AE24" s="77">
        <f>IF(AO24="2",BG24,0)</f>
        <v>0</v>
      </c>
      <c r="AF24" s="77">
        <f>IF(AO24="0",BH24,0)</f>
        <v>0</v>
      </c>
      <c r="AG24" s="71" t="s">
        <v>129</v>
      </c>
      <c r="AH24" s="77">
        <f>IF(AL24=0,J24,0)</f>
        <v>0</v>
      </c>
      <c r="AI24" s="77">
        <f>IF(AL24=15,J24,0)</f>
        <v>0</v>
      </c>
      <c r="AJ24" s="77">
        <f>IF(AL24=21,J24,0)</f>
        <v>0</v>
      </c>
      <c r="AL24" s="77">
        <v>15</v>
      </c>
      <c r="AM24" s="77">
        <f>G24*0</f>
        <v>0</v>
      </c>
      <c r="AN24" s="77">
        <f>G24*(1-0)</f>
        <v>0</v>
      </c>
      <c r="AO24" s="79" t="s">
        <v>132</v>
      </c>
      <c r="AT24" s="77">
        <f>AU24+AV24</f>
        <v>0</v>
      </c>
      <c r="AU24" s="77">
        <f>F24*AM24</f>
        <v>0</v>
      </c>
      <c r="AV24" s="77">
        <f>F24*AN24</f>
        <v>0</v>
      </c>
      <c r="AW24" s="79" t="s">
        <v>185</v>
      </c>
      <c r="AX24" s="79" t="s">
        <v>147</v>
      </c>
      <c r="AY24" s="71" t="s">
        <v>137</v>
      </c>
      <c r="BA24" s="77">
        <f>AU24+AV24</f>
        <v>0</v>
      </c>
      <c r="BB24" s="77">
        <f>G24/(100-BC24)*100</f>
        <v>0</v>
      </c>
      <c r="BC24" s="77">
        <v>0</v>
      </c>
      <c r="BD24" s="77">
        <f>L24</f>
        <v>0</v>
      </c>
      <c r="BF24" s="77">
        <f>F24*AM24</f>
        <v>0</v>
      </c>
      <c r="BG24" s="77">
        <f>F24*AN24</f>
        <v>0</v>
      </c>
      <c r="BH24" s="77">
        <f>F24*G24</f>
        <v>0</v>
      </c>
      <c r="BI24" s="77"/>
      <c r="BJ24" s="77">
        <v>13</v>
      </c>
      <c r="BU24" s="77" t="e">
        <f>#REF!</f>
        <v>#REF!</v>
      </c>
      <c r="BV24" s="70" t="s">
        <v>909</v>
      </c>
    </row>
    <row r="25" spans="1:74" ht="40.5" customHeight="1" x14ac:dyDescent="0.25">
      <c r="A25" s="104"/>
      <c r="B25" s="81" t="s">
        <v>138</v>
      </c>
      <c r="C25" s="303" t="s">
        <v>910</v>
      </c>
      <c r="D25" s="304"/>
      <c r="E25" s="304"/>
      <c r="F25" s="304"/>
      <c r="G25" s="304"/>
      <c r="H25" s="304"/>
      <c r="I25" s="304"/>
      <c r="J25" s="304"/>
      <c r="K25" s="304"/>
      <c r="L25" s="304"/>
      <c r="M25" s="305"/>
    </row>
    <row r="26" spans="1:74" x14ac:dyDescent="0.25">
      <c r="A26" s="92" t="s">
        <v>168</v>
      </c>
      <c r="B26" s="69" t="s">
        <v>829</v>
      </c>
      <c r="C26" s="306" t="s">
        <v>830</v>
      </c>
      <c r="D26" s="307"/>
      <c r="E26" s="69" t="s">
        <v>177</v>
      </c>
      <c r="F26" s="77">
        <v>10.63</v>
      </c>
      <c r="G26" s="218">
        <v>0</v>
      </c>
      <c r="H26" s="77">
        <f>F26*AM26</f>
        <v>0</v>
      </c>
      <c r="I26" s="77">
        <f>F26*AN26</f>
        <v>0</v>
      </c>
      <c r="J26" s="77">
        <f>F26*G26</f>
        <v>0</v>
      </c>
      <c r="K26" s="77">
        <v>0</v>
      </c>
      <c r="L26" s="77">
        <f>F26*K26</f>
        <v>0</v>
      </c>
      <c r="M26" s="103" t="s">
        <v>35</v>
      </c>
      <c r="X26" s="77">
        <f>IF(AO26="5",BH26,0)</f>
        <v>0</v>
      </c>
      <c r="Z26" s="77">
        <f>IF(AO26="1",BF26,0)</f>
        <v>0</v>
      </c>
      <c r="AA26" s="77">
        <f>IF(AO26="1",BG26,0)</f>
        <v>0</v>
      </c>
      <c r="AB26" s="77">
        <f>IF(AO26="7",BF26,0)</f>
        <v>0</v>
      </c>
      <c r="AC26" s="77">
        <f>IF(AO26="7",BG26,0)</f>
        <v>0</v>
      </c>
      <c r="AD26" s="77">
        <f>IF(AO26="2",BF26,0)</f>
        <v>0</v>
      </c>
      <c r="AE26" s="77">
        <f>IF(AO26="2",BG26,0)</f>
        <v>0</v>
      </c>
      <c r="AF26" s="77">
        <f>IF(AO26="0",BH26,0)</f>
        <v>0</v>
      </c>
      <c r="AG26" s="71" t="s">
        <v>129</v>
      </c>
      <c r="AH26" s="77">
        <f>IF(AL26=0,J26,0)</f>
        <v>0</v>
      </c>
      <c r="AI26" s="77">
        <f>IF(AL26=15,J26,0)</f>
        <v>0</v>
      </c>
      <c r="AJ26" s="77">
        <f>IF(AL26=21,J26,0)</f>
        <v>0</v>
      </c>
      <c r="AL26" s="77">
        <v>15</v>
      </c>
      <c r="AM26" s="77">
        <f>G26*0</f>
        <v>0</v>
      </c>
      <c r="AN26" s="77">
        <f>G26*(1-0)</f>
        <v>0</v>
      </c>
      <c r="AO26" s="79" t="s">
        <v>132</v>
      </c>
      <c r="AT26" s="77">
        <f>AU26+AV26</f>
        <v>0</v>
      </c>
      <c r="AU26" s="77">
        <f>F26*AM26</f>
        <v>0</v>
      </c>
      <c r="AV26" s="77">
        <f>F26*AN26</f>
        <v>0</v>
      </c>
      <c r="AW26" s="79" t="s">
        <v>185</v>
      </c>
      <c r="AX26" s="79" t="s">
        <v>147</v>
      </c>
      <c r="AY26" s="71" t="s">
        <v>137</v>
      </c>
      <c r="BA26" s="77">
        <f>AU26+AV26</f>
        <v>0</v>
      </c>
      <c r="BB26" s="77">
        <f>G26/(100-BC26)*100</f>
        <v>0</v>
      </c>
      <c r="BC26" s="77">
        <v>0</v>
      </c>
      <c r="BD26" s="77">
        <f>L26</f>
        <v>0</v>
      </c>
      <c r="BF26" s="77">
        <f>F26*AM26</f>
        <v>0</v>
      </c>
      <c r="BG26" s="77">
        <f>F26*AN26</f>
        <v>0</v>
      </c>
      <c r="BH26" s="77">
        <f>F26*G26</f>
        <v>0</v>
      </c>
      <c r="BI26" s="77"/>
      <c r="BJ26" s="77">
        <v>13</v>
      </c>
      <c r="BU26" s="77" t="e">
        <f>#REF!</f>
        <v>#REF!</v>
      </c>
      <c r="BV26" s="70" t="s">
        <v>830</v>
      </c>
    </row>
    <row r="27" spans="1:74" ht="121.5" customHeight="1" thickBot="1" x14ac:dyDescent="0.3">
      <c r="A27" s="107"/>
      <c r="B27" s="108" t="s">
        <v>138</v>
      </c>
      <c r="C27" s="308" t="s">
        <v>911</v>
      </c>
      <c r="D27" s="309"/>
      <c r="E27" s="309"/>
      <c r="F27" s="309"/>
      <c r="G27" s="309"/>
      <c r="H27" s="309"/>
      <c r="I27" s="309"/>
      <c r="J27" s="309"/>
      <c r="K27" s="309"/>
      <c r="L27" s="309"/>
      <c r="M27" s="310"/>
    </row>
    <row r="28" spans="1:74" x14ac:dyDescent="0.25">
      <c r="A28" s="122" t="s">
        <v>174</v>
      </c>
      <c r="B28" s="109" t="s">
        <v>194</v>
      </c>
      <c r="C28" s="312" t="s">
        <v>912</v>
      </c>
      <c r="D28" s="313"/>
      <c r="E28" s="109" t="s">
        <v>177</v>
      </c>
      <c r="F28" s="123">
        <v>2.66</v>
      </c>
      <c r="G28" s="219">
        <v>0</v>
      </c>
      <c r="H28" s="123">
        <f>F28*AM28</f>
        <v>0</v>
      </c>
      <c r="I28" s="123">
        <f>F28*AN28</f>
        <v>0</v>
      </c>
      <c r="J28" s="123">
        <f>F28*G28</f>
        <v>0</v>
      </c>
      <c r="K28" s="123">
        <v>0</v>
      </c>
      <c r="L28" s="123">
        <f>F28*K28</f>
        <v>0</v>
      </c>
      <c r="M28" s="124" t="s">
        <v>35</v>
      </c>
      <c r="X28" s="77">
        <f>IF(AO28="5",BH28,0)</f>
        <v>0</v>
      </c>
      <c r="Z28" s="77">
        <f>IF(AO28="1",BF28,0)</f>
        <v>0</v>
      </c>
      <c r="AA28" s="77">
        <f>IF(AO28="1",BG28,0)</f>
        <v>0</v>
      </c>
      <c r="AB28" s="77">
        <f>IF(AO28="7",BF28,0)</f>
        <v>0</v>
      </c>
      <c r="AC28" s="77">
        <f>IF(AO28="7",BG28,0)</f>
        <v>0</v>
      </c>
      <c r="AD28" s="77">
        <f>IF(AO28="2",BF28,0)</f>
        <v>0</v>
      </c>
      <c r="AE28" s="77">
        <f>IF(AO28="2",BG28,0)</f>
        <v>0</v>
      </c>
      <c r="AF28" s="77">
        <f>IF(AO28="0",BH28,0)</f>
        <v>0</v>
      </c>
      <c r="AG28" s="71" t="s">
        <v>129</v>
      </c>
      <c r="AH28" s="77">
        <f>IF(AL28=0,J28,0)</f>
        <v>0</v>
      </c>
      <c r="AI28" s="77">
        <f>IF(AL28=15,J28,0)</f>
        <v>0</v>
      </c>
      <c r="AJ28" s="77">
        <f>IF(AL28=21,J28,0)</f>
        <v>0</v>
      </c>
      <c r="AL28" s="77">
        <v>15</v>
      </c>
      <c r="AM28" s="77">
        <f>G28*0</f>
        <v>0</v>
      </c>
      <c r="AN28" s="77">
        <f>G28*(1-0)</f>
        <v>0</v>
      </c>
      <c r="AO28" s="79" t="s">
        <v>132</v>
      </c>
      <c r="AT28" s="77">
        <f>AU28+AV28</f>
        <v>0</v>
      </c>
      <c r="AU28" s="77">
        <f>F28*AM28</f>
        <v>0</v>
      </c>
      <c r="AV28" s="77">
        <f>F28*AN28</f>
        <v>0</v>
      </c>
      <c r="AW28" s="79" t="s">
        <v>185</v>
      </c>
      <c r="AX28" s="79" t="s">
        <v>147</v>
      </c>
      <c r="AY28" s="71" t="s">
        <v>137</v>
      </c>
      <c r="BA28" s="77">
        <f>AU28+AV28</f>
        <v>0</v>
      </c>
      <c r="BB28" s="77">
        <f>G28/(100-BC28)*100</f>
        <v>0</v>
      </c>
      <c r="BC28" s="77">
        <v>0</v>
      </c>
      <c r="BD28" s="77">
        <f>L28</f>
        <v>0</v>
      </c>
      <c r="BF28" s="77">
        <f>F28*AM28</f>
        <v>0</v>
      </c>
      <c r="BG28" s="77">
        <f>F28*AN28</f>
        <v>0</v>
      </c>
      <c r="BH28" s="77">
        <f>F28*G28</f>
        <v>0</v>
      </c>
      <c r="BI28" s="77"/>
      <c r="BJ28" s="77">
        <v>13</v>
      </c>
      <c r="BU28" s="77" t="e">
        <f>#REF!</f>
        <v>#REF!</v>
      </c>
      <c r="BV28" s="70" t="s">
        <v>912</v>
      </c>
    </row>
    <row r="29" spans="1:74" ht="40.5" customHeight="1" x14ac:dyDescent="0.25">
      <c r="A29" s="104"/>
      <c r="B29" s="81" t="s">
        <v>138</v>
      </c>
      <c r="C29" s="303" t="s">
        <v>913</v>
      </c>
      <c r="D29" s="304"/>
      <c r="E29" s="304"/>
      <c r="F29" s="304"/>
      <c r="G29" s="304"/>
      <c r="H29" s="304"/>
      <c r="I29" s="304"/>
      <c r="J29" s="304"/>
      <c r="K29" s="304"/>
      <c r="L29" s="304"/>
      <c r="M29" s="305"/>
    </row>
    <row r="30" spans="1:74" x14ac:dyDescent="0.25">
      <c r="A30" s="92" t="s">
        <v>182</v>
      </c>
      <c r="B30" s="69" t="s">
        <v>197</v>
      </c>
      <c r="C30" s="306" t="s">
        <v>198</v>
      </c>
      <c r="D30" s="307"/>
      <c r="E30" s="69" t="s">
        <v>177</v>
      </c>
      <c r="F30" s="77">
        <v>3</v>
      </c>
      <c r="G30" s="218">
        <v>0</v>
      </c>
      <c r="H30" s="77">
        <f>F30*AM30</f>
        <v>0</v>
      </c>
      <c r="I30" s="77">
        <f>F30*AN30</f>
        <v>0</v>
      </c>
      <c r="J30" s="77">
        <f>F30*G30</f>
        <v>0</v>
      </c>
      <c r="K30" s="77">
        <v>0</v>
      </c>
      <c r="L30" s="77">
        <f>F30*K30</f>
        <v>0</v>
      </c>
      <c r="M30" s="103" t="s">
        <v>35</v>
      </c>
      <c r="X30" s="77">
        <f>IF(AO30="5",BH30,0)</f>
        <v>0</v>
      </c>
      <c r="Z30" s="77">
        <f>IF(AO30="1",BF30,0)</f>
        <v>0</v>
      </c>
      <c r="AA30" s="77">
        <f>IF(AO30="1",BG30,0)</f>
        <v>0</v>
      </c>
      <c r="AB30" s="77">
        <f>IF(AO30="7",BF30,0)</f>
        <v>0</v>
      </c>
      <c r="AC30" s="77">
        <f>IF(AO30="7",BG30,0)</f>
        <v>0</v>
      </c>
      <c r="AD30" s="77">
        <f>IF(AO30="2",BF30,0)</f>
        <v>0</v>
      </c>
      <c r="AE30" s="77">
        <f>IF(AO30="2",BG30,0)</f>
        <v>0</v>
      </c>
      <c r="AF30" s="77">
        <f>IF(AO30="0",BH30,0)</f>
        <v>0</v>
      </c>
      <c r="AG30" s="71" t="s">
        <v>129</v>
      </c>
      <c r="AH30" s="77">
        <f>IF(AL30=0,J30,0)</f>
        <v>0</v>
      </c>
      <c r="AI30" s="77">
        <f>IF(AL30=15,J30,0)</f>
        <v>0</v>
      </c>
      <c r="AJ30" s="77">
        <f>IF(AL30=21,J30,0)</f>
        <v>0</v>
      </c>
      <c r="AL30" s="77">
        <v>15</v>
      </c>
      <c r="AM30" s="77">
        <f>G30*0</f>
        <v>0</v>
      </c>
      <c r="AN30" s="77">
        <f>G30*(1-0)</f>
        <v>0</v>
      </c>
      <c r="AO30" s="79" t="s">
        <v>132</v>
      </c>
      <c r="AT30" s="77">
        <f>AU30+AV30</f>
        <v>0</v>
      </c>
      <c r="AU30" s="77">
        <f>F30*AM30</f>
        <v>0</v>
      </c>
      <c r="AV30" s="77">
        <f>F30*AN30</f>
        <v>0</v>
      </c>
      <c r="AW30" s="79" t="s">
        <v>185</v>
      </c>
      <c r="AX30" s="79" t="s">
        <v>147</v>
      </c>
      <c r="AY30" s="71" t="s">
        <v>137</v>
      </c>
      <c r="BA30" s="77">
        <f>AU30+AV30</f>
        <v>0</v>
      </c>
      <c r="BB30" s="77">
        <f>G30/(100-BC30)*100</f>
        <v>0</v>
      </c>
      <c r="BC30" s="77">
        <v>0</v>
      </c>
      <c r="BD30" s="77">
        <f>L30</f>
        <v>0</v>
      </c>
      <c r="BF30" s="77">
        <f>F30*AM30</f>
        <v>0</v>
      </c>
      <c r="BG30" s="77">
        <f>F30*AN30</f>
        <v>0</v>
      </c>
      <c r="BH30" s="77">
        <f>F30*G30</f>
        <v>0</v>
      </c>
      <c r="BI30" s="77"/>
      <c r="BJ30" s="77">
        <v>13</v>
      </c>
      <c r="BU30" s="77" t="e">
        <f>#REF!</f>
        <v>#REF!</v>
      </c>
      <c r="BV30" s="70" t="s">
        <v>198</v>
      </c>
    </row>
    <row r="31" spans="1:74" ht="54" customHeight="1" x14ac:dyDescent="0.25">
      <c r="A31" s="104"/>
      <c r="B31" s="81" t="s">
        <v>138</v>
      </c>
      <c r="C31" s="303" t="s">
        <v>199</v>
      </c>
      <c r="D31" s="304"/>
      <c r="E31" s="304"/>
      <c r="F31" s="304"/>
      <c r="G31" s="304"/>
      <c r="H31" s="304"/>
      <c r="I31" s="304"/>
      <c r="J31" s="304"/>
      <c r="K31" s="304"/>
      <c r="L31" s="304"/>
      <c r="M31" s="305"/>
    </row>
    <row r="32" spans="1:74" x14ac:dyDescent="0.25">
      <c r="A32" s="92" t="s">
        <v>187</v>
      </c>
      <c r="B32" s="69" t="s">
        <v>201</v>
      </c>
      <c r="C32" s="306" t="s">
        <v>202</v>
      </c>
      <c r="D32" s="307"/>
      <c r="E32" s="69" t="s">
        <v>177</v>
      </c>
      <c r="F32" s="77">
        <v>2</v>
      </c>
      <c r="G32" s="218">
        <v>0</v>
      </c>
      <c r="H32" s="77">
        <f>F32*AM32</f>
        <v>0</v>
      </c>
      <c r="I32" s="77">
        <f>F32*AN32</f>
        <v>0</v>
      </c>
      <c r="J32" s="77">
        <f>F32*G32</f>
        <v>0</v>
      </c>
      <c r="K32" s="77">
        <v>0</v>
      </c>
      <c r="L32" s="77">
        <f>F32*K32</f>
        <v>0</v>
      </c>
      <c r="M32" s="103" t="s">
        <v>35</v>
      </c>
      <c r="X32" s="77">
        <f>IF(AO32="5",BH32,0)</f>
        <v>0</v>
      </c>
      <c r="Z32" s="77">
        <f>IF(AO32="1",BF32,0)</f>
        <v>0</v>
      </c>
      <c r="AA32" s="77">
        <f>IF(AO32="1",BG32,0)</f>
        <v>0</v>
      </c>
      <c r="AB32" s="77">
        <f>IF(AO32="7",BF32,0)</f>
        <v>0</v>
      </c>
      <c r="AC32" s="77">
        <f>IF(AO32="7",BG32,0)</f>
        <v>0</v>
      </c>
      <c r="AD32" s="77">
        <f>IF(AO32="2",BF32,0)</f>
        <v>0</v>
      </c>
      <c r="AE32" s="77">
        <f>IF(AO32="2",BG32,0)</f>
        <v>0</v>
      </c>
      <c r="AF32" s="77">
        <f>IF(AO32="0",BH32,0)</f>
        <v>0</v>
      </c>
      <c r="AG32" s="71" t="s">
        <v>129</v>
      </c>
      <c r="AH32" s="77">
        <f>IF(AL32=0,J32,0)</f>
        <v>0</v>
      </c>
      <c r="AI32" s="77">
        <f>IF(AL32=15,J32,0)</f>
        <v>0</v>
      </c>
      <c r="AJ32" s="77">
        <f>IF(AL32=21,J32,0)</f>
        <v>0</v>
      </c>
      <c r="AL32" s="77">
        <v>15</v>
      </c>
      <c r="AM32" s="77">
        <f>G32*0</f>
        <v>0</v>
      </c>
      <c r="AN32" s="77">
        <f>G32*(1-0)</f>
        <v>0</v>
      </c>
      <c r="AO32" s="79" t="s">
        <v>132</v>
      </c>
      <c r="AT32" s="77">
        <f>AU32+AV32</f>
        <v>0</v>
      </c>
      <c r="AU32" s="77">
        <f>F32*AM32</f>
        <v>0</v>
      </c>
      <c r="AV32" s="77">
        <f>F32*AN32</f>
        <v>0</v>
      </c>
      <c r="AW32" s="79" t="s">
        <v>185</v>
      </c>
      <c r="AX32" s="79" t="s">
        <v>147</v>
      </c>
      <c r="AY32" s="71" t="s">
        <v>137</v>
      </c>
      <c r="BA32" s="77">
        <f>AU32+AV32</f>
        <v>0</v>
      </c>
      <c r="BB32" s="77">
        <f>G32/(100-BC32)*100</f>
        <v>0</v>
      </c>
      <c r="BC32" s="77">
        <v>0</v>
      </c>
      <c r="BD32" s="77">
        <f>L32</f>
        <v>0</v>
      </c>
      <c r="BF32" s="77">
        <f>F32*AM32</f>
        <v>0</v>
      </c>
      <c r="BG32" s="77">
        <f>F32*AN32</f>
        <v>0</v>
      </c>
      <c r="BH32" s="77">
        <f>F32*G32</f>
        <v>0</v>
      </c>
      <c r="BI32" s="77"/>
      <c r="BJ32" s="77">
        <v>13</v>
      </c>
      <c r="BU32" s="77" t="e">
        <f>#REF!</f>
        <v>#REF!</v>
      </c>
      <c r="BV32" s="70" t="s">
        <v>202</v>
      </c>
    </row>
    <row r="33" spans="1:74" ht="13.5" customHeight="1" x14ac:dyDescent="0.25">
      <c r="A33" s="104"/>
      <c r="B33" s="81" t="s">
        <v>138</v>
      </c>
      <c r="C33" s="303" t="s">
        <v>203</v>
      </c>
      <c r="D33" s="304"/>
      <c r="E33" s="304"/>
      <c r="F33" s="304"/>
      <c r="G33" s="304"/>
      <c r="H33" s="304"/>
      <c r="I33" s="304"/>
      <c r="J33" s="304"/>
      <c r="K33" s="304"/>
      <c r="L33" s="304"/>
      <c r="M33" s="305"/>
    </row>
    <row r="34" spans="1:74" x14ac:dyDescent="0.25">
      <c r="A34" s="105" t="s">
        <v>129</v>
      </c>
      <c r="B34" s="74" t="s">
        <v>204</v>
      </c>
      <c r="C34" s="314" t="s">
        <v>208</v>
      </c>
      <c r="D34" s="315"/>
      <c r="E34" s="75" t="s">
        <v>87</v>
      </c>
      <c r="F34" s="75" t="s">
        <v>87</v>
      </c>
      <c r="G34" s="75" t="s">
        <v>87</v>
      </c>
      <c r="H34" s="67">
        <f>SUM(H35:H37)</f>
        <v>0</v>
      </c>
      <c r="I34" s="67">
        <f>SUM(I35:I37)</f>
        <v>0</v>
      </c>
      <c r="J34" s="67">
        <f>SUM(J35:J37)</f>
        <v>0</v>
      </c>
      <c r="K34" s="71" t="s">
        <v>129</v>
      </c>
      <c r="L34" s="67">
        <f>SUM(L35:L37)</f>
        <v>1.0749999999999999E-2</v>
      </c>
      <c r="M34" s="106" t="s">
        <v>129</v>
      </c>
      <c r="AG34" s="71" t="s">
        <v>129</v>
      </c>
      <c r="AQ34" s="67">
        <f>SUM(AH35:AH37)</f>
        <v>0</v>
      </c>
      <c r="AR34" s="67">
        <f>SUM(AI35:AI37)</f>
        <v>0</v>
      </c>
      <c r="AS34" s="67">
        <f>SUM(AJ35:AJ37)</f>
        <v>0</v>
      </c>
    </row>
    <row r="35" spans="1:74" x14ac:dyDescent="0.25">
      <c r="A35" s="92" t="s">
        <v>140</v>
      </c>
      <c r="B35" s="69" t="s">
        <v>210</v>
      </c>
      <c r="C35" s="306" t="s">
        <v>211</v>
      </c>
      <c r="D35" s="307"/>
      <c r="E35" s="69" t="s">
        <v>166</v>
      </c>
      <c r="F35" s="77">
        <v>12.5</v>
      </c>
      <c r="G35" s="218">
        <v>0</v>
      </c>
      <c r="H35" s="77">
        <f>F35*AM35</f>
        <v>0</v>
      </c>
      <c r="I35" s="77">
        <f>F35*AN35</f>
        <v>0</v>
      </c>
      <c r="J35" s="77">
        <f>F35*G35</f>
        <v>0</v>
      </c>
      <c r="K35" s="77">
        <v>8.5999999999999998E-4</v>
      </c>
      <c r="L35" s="77">
        <f>F35*K35</f>
        <v>1.0749999999999999E-2</v>
      </c>
      <c r="M35" s="103" t="s">
        <v>35</v>
      </c>
      <c r="X35" s="77">
        <f>IF(AO35="5",BH35,0)</f>
        <v>0</v>
      </c>
      <c r="Z35" s="77">
        <f>IF(AO35="1",BF35,0)</f>
        <v>0</v>
      </c>
      <c r="AA35" s="77">
        <f>IF(AO35="1",BG35,0)</f>
        <v>0</v>
      </c>
      <c r="AB35" s="77">
        <f>IF(AO35="7",BF35,0)</f>
        <v>0</v>
      </c>
      <c r="AC35" s="77">
        <f>IF(AO35="7",BG35,0)</f>
        <v>0</v>
      </c>
      <c r="AD35" s="77">
        <f>IF(AO35="2",BF35,0)</f>
        <v>0</v>
      </c>
      <c r="AE35" s="77">
        <f>IF(AO35="2",BG35,0)</f>
        <v>0</v>
      </c>
      <c r="AF35" s="77">
        <f>IF(AO35="0",BH35,0)</f>
        <v>0</v>
      </c>
      <c r="AG35" s="71" t="s">
        <v>129</v>
      </c>
      <c r="AH35" s="77">
        <f>IF(AL35=0,J35,0)</f>
        <v>0</v>
      </c>
      <c r="AI35" s="77">
        <f>IF(AL35=15,J35,0)</f>
        <v>0</v>
      </c>
      <c r="AJ35" s="77">
        <f>IF(AL35=21,J35,0)</f>
        <v>0</v>
      </c>
      <c r="AL35" s="77">
        <v>15</v>
      </c>
      <c r="AM35" s="77">
        <f>G35*0.088675529</f>
        <v>0</v>
      </c>
      <c r="AN35" s="77">
        <f>G35*(1-0.088675529)</f>
        <v>0</v>
      </c>
      <c r="AO35" s="79" t="s">
        <v>132</v>
      </c>
      <c r="AT35" s="77">
        <f>AU35+AV35</f>
        <v>0</v>
      </c>
      <c r="AU35" s="77">
        <f>F35*AM35</f>
        <v>0</v>
      </c>
      <c r="AV35" s="77">
        <f>F35*AN35</f>
        <v>0</v>
      </c>
      <c r="AW35" s="79" t="s">
        <v>212</v>
      </c>
      <c r="AX35" s="79" t="s">
        <v>147</v>
      </c>
      <c r="AY35" s="71" t="s">
        <v>137</v>
      </c>
      <c r="BA35" s="77">
        <f>AU35+AV35</f>
        <v>0</v>
      </c>
      <c r="BB35" s="77">
        <f>G35/(100-BC35)*100</f>
        <v>0</v>
      </c>
      <c r="BC35" s="77">
        <v>0</v>
      </c>
      <c r="BD35" s="77">
        <f>L35</f>
        <v>1.0749999999999999E-2</v>
      </c>
      <c r="BF35" s="77">
        <f>F35*AM35</f>
        <v>0</v>
      </c>
      <c r="BG35" s="77">
        <f>F35*AN35</f>
        <v>0</v>
      </c>
      <c r="BH35" s="77">
        <f>F35*G35</f>
        <v>0</v>
      </c>
      <c r="BI35" s="77"/>
      <c r="BJ35" s="77">
        <v>15</v>
      </c>
      <c r="BU35" s="77" t="e">
        <f>#REF!</f>
        <v>#REF!</v>
      </c>
      <c r="BV35" s="70" t="s">
        <v>211</v>
      </c>
    </row>
    <row r="36" spans="1:74" ht="40.5" customHeight="1" x14ac:dyDescent="0.25">
      <c r="A36" s="104"/>
      <c r="B36" s="81" t="s">
        <v>138</v>
      </c>
      <c r="C36" s="303" t="s">
        <v>914</v>
      </c>
      <c r="D36" s="304"/>
      <c r="E36" s="304"/>
      <c r="F36" s="304"/>
      <c r="G36" s="304"/>
      <c r="H36" s="304"/>
      <c r="I36" s="304"/>
      <c r="J36" s="304"/>
      <c r="K36" s="304"/>
      <c r="L36" s="304"/>
      <c r="M36" s="305"/>
    </row>
    <row r="37" spans="1:74" x14ac:dyDescent="0.25">
      <c r="A37" s="92" t="s">
        <v>172</v>
      </c>
      <c r="B37" s="69" t="s">
        <v>215</v>
      </c>
      <c r="C37" s="306" t="s">
        <v>216</v>
      </c>
      <c r="D37" s="307"/>
      <c r="E37" s="69" t="s">
        <v>166</v>
      </c>
      <c r="F37" s="77">
        <v>12.5</v>
      </c>
      <c r="G37" s="218">
        <v>0</v>
      </c>
      <c r="H37" s="77">
        <f>F37*AM37</f>
        <v>0</v>
      </c>
      <c r="I37" s="77">
        <f>F37*AN37</f>
        <v>0</v>
      </c>
      <c r="J37" s="77">
        <f>F37*G37</f>
        <v>0</v>
      </c>
      <c r="K37" s="77">
        <v>0</v>
      </c>
      <c r="L37" s="77">
        <f>F37*K37</f>
        <v>0</v>
      </c>
      <c r="M37" s="103" t="s">
        <v>35</v>
      </c>
      <c r="X37" s="77">
        <f>IF(AO37="5",BH37,0)</f>
        <v>0</v>
      </c>
      <c r="Z37" s="77">
        <f>IF(AO37="1",BF37,0)</f>
        <v>0</v>
      </c>
      <c r="AA37" s="77">
        <f>IF(AO37="1",BG37,0)</f>
        <v>0</v>
      </c>
      <c r="AB37" s="77">
        <f>IF(AO37="7",BF37,0)</f>
        <v>0</v>
      </c>
      <c r="AC37" s="77">
        <f>IF(AO37="7",BG37,0)</f>
        <v>0</v>
      </c>
      <c r="AD37" s="77">
        <f>IF(AO37="2",BF37,0)</f>
        <v>0</v>
      </c>
      <c r="AE37" s="77">
        <f>IF(AO37="2",BG37,0)</f>
        <v>0</v>
      </c>
      <c r="AF37" s="77">
        <f>IF(AO37="0",BH37,0)</f>
        <v>0</v>
      </c>
      <c r="AG37" s="71" t="s">
        <v>129</v>
      </c>
      <c r="AH37" s="77">
        <f>IF(AL37=0,J37,0)</f>
        <v>0</v>
      </c>
      <c r="AI37" s="77">
        <f>IF(AL37=15,J37,0)</f>
        <v>0</v>
      </c>
      <c r="AJ37" s="77">
        <f>IF(AL37=21,J37,0)</f>
        <v>0</v>
      </c>
      <c r="AL37" s="77">
        <v>15</v>
      </c>
      <c r="AM37" s="77">
        <f>G37*0</f>
        <v>0</v>
      </c>
      <c r="AN37" s="77">
        <f>G37*(1-0)</f>
        <v>0</v>
      </c>
      <c r="AO37" s="79" t="s">
        <v>132</v>
      </c>
      <c r="AT37" s="77">
        <f>AU37+AV37</f>
        <v>0</v>
      </c>
      <c r="AU37" s="77">
        <f>F37*AM37</f>
        <v>0</v>
      </c>
      <c r="AV37" s="77">
        <f>F37*AN37</f>
        <v>0</v>
      </c>
      <c r="AW37" s="79" t="s">
        <v>212</v>
      </c>
      <c r="AX37" s="79" t="s">
        <v>147</v>
      </c>
      <c r="AY37" s="71" t="s">
        <v>137</v>
      </c>
      <c r="BA37" s="77">
        <f>AU37+AV37</f>
        <v>0</v>
      </c>
      <c r="BB37" s="77">
        <f>G37/(100-BC37)*100</f>
        <v>0</v>
      </c>
      <c r="BC37" s="77">
        <v>0</v>
      </c>
      <c r="BD37" s="77">
        <f>L37</f>
        <v>0</v>
      </c>
      <c r="BF37" s="77">
        <f>F37*AM37</f>
        <v>0</v>
      </c>
      <c r="BG37" s="77">
        <f>F37*AN37</f>
        <v>0</v>
      </c>
      <c r="BH37" s="77">
        <f>F37*G37</f>
        <v>0</v>
      </c>
      <c r="BI37" s="77"/>
      <c r="BJ37" s="77">
        <v>15</v>
      </c>
      <c r="BU37" s="77" t="e">
        <f>#REF!</f>
        <v>#REF!</v>
      </c>
      <c r="BV37" s="70" t="s">
        <v>216</v>
      </c>
    </row>
    <row r="38" spans="1:74" ht="40.5" customHeight="1" x14ac:dyDescent="0.25">
      <c r="A38" s="104"/>
      <c r="B38" s="81" t="s">
        <v>138</v>
      </c>
      <c r="C38" s="303" t="s">
        <v>915</v>
      </c>
      <c r="D38" s="304"/>
      <c r="E38" s="304"/>
      <c r="F38" s="304"/>
      <c r="G38" s="304"/>
      <c r="H38" s="304"/>
      <c r="I38" s="304"/>
      <c r="J38" s="304"/>
      <c r="K38" s="304"/>
      <c r="L38" s="304"/>
      <c r="M38" s="305"/>
    </row>
    <row r="39" spans="1:74" x14ac:dyDescent="0.25">
      <c r="A39" s="105" t="s">
        <v>129</v>
      </c>
      <c r="B39" s="74" t="s">
        <v>209</v>
      </c>
      <c r="C39" s="314" t="s">
        <v>218</v>
      </c>
      <c r="D39" s="315"/>
      <c r="E39" s="75" t="s">
        <v>87</v>
      </c>
      <c r="F39" s="75" t="s">
        <v>87</v>
      </c>
      <c r="G39" s="75" t="s">
        <v>87</v>
      </c>
      <c r="H39" s="67">
        <f>SUM(H40:H50)</f>
        <v>0</v>
      </c>
      <c r="I39" s="67">
        <f>SUM(I40:I50)</f>
        <v>0</v>
      </c>
      <c r="J39" s="67">
        <f>SUM(J40:J50)</f>
        <v>0</v>
      </c>
      <c r="K39" s="71" t="s">
        <v>129</v>
      </c>
      <c r="L39" s="67">
        <f>SUM(L40:L50)</f>
        <v>0</v>
      </c>
      <c r="M39" s="106" t="s">
        <v>129</v>
      </c>
      <c r="AG39" s="71" t="s">
        <v>129</v>
      </c>
      <c r="AQ39" s="67">
        <f>SUM(AH40:AH50)</f>
        <v>0</v>
      </c>
      <c r="AR39" s="67">
        <f>SUM(AI40:AI50)</f>
        <v>0</v>
      </c>
      <c r="AS39" s="67">
        <f>SUM(AJ40:AJ50)</f>
        <v>0</v>
      </c>
    </row>
    <row r="40" spans="1:74" x14ac:dyDescent="0.25">
      <c r="A40" s="92" t="s">
        <v>180</v>
      </c>
      <c r="B40" s="69" t="s">
        <v>220</v>
      </c>
      <c r="C40" s="306" t="s">
        <v>221</v>
      </c>
      <c r="D40" s="307"/>
      <c r="E40" s="69" t="s">
        <v>177</v>
      </c>
      <c r="F40" s="77">
        <v>10.63</v>
      </c>
      <c r="G40" s="218">
        <v>0</v>
      </c>
      <c r="H40" s="77">
        <f>F40*AM40</f>
        <v>0</v>
      </c>
      <c r="I40" s="77">
        <f>F40*AN40</f>
        <v>0</v>
      </c>
      <c r="J40" s="77">
        <f>F40*G40</f>
        <v>0</v>
      </c>
      <c r="K40" s="77">
        <v>0</v>
      </c>
      <c r="L40" s="77">
        <f>F40*K40</f>
        <v>0</v>
      </c>
      <c r="M40" s="103" t="s">
        <v>35</v>
      </c>
      <c r="X40" s="77">
        <f>IF(AO40="5",BH40,0)</f>
        <v>0</v>
      </c>
      <c r="Z40" s="77">
        <f>IF(AO40="1",BF40,0)</f>
        <v>0</v>
      </c>
      <c r="AA40" s="77">
        <f>IF(AO40="1",BG40,0)</f>
        <v>0</v>
      </c>
      <c r="AB40" s="77">
        <f>IF(AO40="7",BF40,0)</f>
        <v>0</v>
      </c>
      <c r="AC40" s="77">
        <f>IF(AO40="7",BG40,0)</f>
        <v>0</v>
      </c>
      <c r="AD40" s="77">
        <f>IF(AO40="2",BF40,0)</f>
        <v>0</v>
      </c>
      <c r="AE40" s="77">
        <f>IF(AO40="2",BG40,0)</f>
        <v>0</v>
      </c>
      <c r="AF40" s="77">
        <f>IF(AO40="0",BH40,0)</f>
        <v>0</v>
      </c>
      <c r="AG40" s="71" t="s">
        <v>129</v>
      </c>
      <c r="AH40" s="77">
        <f>IF(AL40=0,J40,0)</f>
        <v>0</v>
      </c>
      <c r="AI40" s="77">
        <f>IF(AL40=15,J40,0)</f>
        <v>0</v>
      </c>
      <c r="AJ40" s="77">
        <f>IF(AL40=21,J40,0)</f>
        <v>0</v>
      </c>
      <c r="AL40" s="77">
        <v>15</v>
      </c>
      <c r="AM40" s="77">
        <f>G40*0</f>
        <v>0</v>
      </c>
      <c r="AN40" s="77">
        <f>G40*(1-0)</f>
        <v>0</v>
      </c>
      <c r="AO40" s="79" t="s">
        <v>132</v>
      </c>
      <c r="AT40" s="77">
        <f>AU40+AV40</f>
        <v>0</v>
      </c>
      <c r="AU40" s="77">
        <f>F40*AM40</f>
        <v>0</v>
      </c>
      <c r="AV40" s="77">
        <f>F40*AN40</f>
        <v>0</v>
      </c>
      <c r="AW40" s="79" t="s">
        <v>222</v>
      </c>
      <c r="AX40" s="79" t="s">
        <v>147</v>
      </c>
      <c r="AY40" s="71" t="s">
        <v>137</v>
      </c>
      <c r="BA40" s="77">
        <f>AU40+AV40</f>
        <v>0</v>
      </c>
      <c r="BB40" s="77">
        <f>G40/(100-BC40)*100</f>
        <v>0</v>
      </c>
      <c r="BC40" s="77">
        <v>0</v>
      </c>
      <c r="BD40" s="77">
        <f>L40</f>
        <v>0</v>
      </c>
      <c r="BF40" s="77">
        <f>F40*AM40</f>
        <v>0</v>
      </c>
      <c r="BG40" s="77">
        <f>F40*AN40</f>
        <v>0</v>
      </c>
      <c r="BH40" s="77">
        <f>F40*G40</f>
        <v>0</v>
      </c>
      <c r="BI40" s="77"/>
      <c r="BJ40" s="77">
        <v>16</v>
      </c>
      <c r="BU40" s="77" t="e">
        <f>#REF!</f>
        <v>#REF!</v>
      </c>
      <c r="BV40" s="70" t="s">
        <v>221</v>
      </c>
    </row>
    <row r="41" spans="1:74" ht="67.5" customHeight="1" x14ac:dyDescent="0.25">
      <c r="A41" s="104"/>
      <c r="B41" s="81" t="s">
        <v>138</v>
      </c>
      <c r="C41" s="303" t="s">
        <v>916</v>
      </c>
      <c r="D41" s="304"/>
      <c r="E41" s="304"/>
      <c r="F41" s="304"/>
      <c r="G41" s="304"/>
      <c r="H41" s="304"/>
      <c r="I41" s="304"/>
      <c r="J41" s="304"/>
      <c r="K41" s="304"/>
      <c r="L41" s="304"/>
      <c r="M41" s="305"/>
    </row>
    <row r="42" spans="1:74" x14ac:dyDescent="0.25">
      <c r="A42" s="92" t="s">
        <v>200</v>
      </c>
      <c r="B42" s="69" t="s">
        <v>225</v>
      </c>
      <c r="C42" s="306" t="s">
        <v>226</v>
      </c>
      <c r="D42" s="307"/>
      <c r="E42" s="69" t="s">
        <v>177</v>
      </c>
      <c r="F42" s="77">
        <v>2.5</v>
      </c>
      <c r="G42" s="218">
        <v>0</v>
      </c>
      <c r="H42" s="77">
        <f>F42*AM42</f>
        <v>0</v>
      </c>
      <c r="I42" s="77">
        <f>F42*AN42</f>
        <v>0</v>
      </c>
      <c r="J42" s="77">
        <f>F42*G42</f>
        <v>0</v>
      </c>
      <c r="K42" s="77">
        <v>0</v>
      </c>
      <c r="L42" s="77">
        <f>F42*K42</f>
        <v>0</v>
      </c>
      <c r="M42" s="103" t="s">
        <v>35</v>
      </c>
      <c r="X42" s="77">
        <f>IF(AO42="5",BH42,0)</f>
        <v>0</v>
      </c>
      <c r="Z42" s="77">
        <f>IF(AO42="1",BF42,0)</f>
        <v>0</v>
      </c>
      <c r="AA42" s="77">
        <f>IF(AO42="1",BG42,0)</f>
        <v>0</v>
      </c>
      <c r="AB42" s="77">
        <f>IF(AO42="7",BF42,0)</f>
        <v>0</v>
      </c>
      <c r="AC42" s="77">
        <f>IF(AO42="7",BG42,0)</f>
        <v>0</v>
      </c>
      <c r="AD42" s="77">
        <f>IF(AO42="2",BF42,0)</f>
        <v>0</v>
      </c>
      <c r="AE42" s="77">
        <f>IF(AO42="2",BG42,0)</f>
        <v>0</v>
      </c>
      <c r="AF42" s="77">
        <f>IF(AO42="0",BH42,0)</f>
        <v>0</v>
      </c>
      <c r="AG42" s="71" t="s">
        <v>129</v>
      </c>
      <c r="AH42" s="77">
        <f>IF(AL42=0,J42,0)</f>
        <v>0</v>
      </c>
      <c r="AI42" s="77">
        <f>IF(AL42=15,J42,0)</f>
        <v>0</v>
      </c>
      <c r="AJ42" s="77">
        <f>IF(AL42=21,J42,0)</f>
        <v>0</v>
      </c>
      <c r="AL42" s="77">
        <v>15</v>
      </c>
      <c r="AM42" s="77">
        <f>G42*0</f>
        <v>0</v>
      </c>
      <c r="AN42" s="77">
        <f>G42*(1-0)</f>
        <v>0</v>
      </c>
      <c r="AO42" s="79" t="s">
        <v>132</v>
      </c>
      <c r="AT42" s="77">
        <f>AU42+AV42</f>
        <v>0</v>
      </c>
      <c r="AU42" s="77">
        <f>F42*AM42</f>
        <v>0</v>
      </c>
      <c r="AV42" s="77">
        <f>F42*AN42</f>
        <v>0</v>
      </c>
      <c r="AW42" s="79" t="s">
        <v>222</v>
      </c>
      <c r="AX42" s="79" t="s">
        <v>147</v>
      </c>
      <c r="AY42" s="71" t="s">
        <v>137</v>
      </c>
      <c r="BA42" s="77">
        <f>AU42+AV42</f>
        <v>0</v>
      </c>
      <c r="BB42" s="77">
        <f>G42/(100-BC42)*100</f>
        <v>0</v>
      </c>
      <c r="BC42" s="77">
        <v>0</v>
      </c>
      <c r="BD42" s="77">
        <f>L42</f>
        <v>0</v>
      </c>
      <c r="BF42" s="77">
        <f>F42*AM42</f>
        <v>0</v>
      </c>
      <c r="BG42" s="77">
        <f>F42*AN42</f>
        <v>0</v>
      </c>
      <c r="BH42" s="77">
        <f>F42*G42</f>
        <v>0</v>
      </c>
      <c r="BI42" s="77"/>
      <c r="BJ42" s="77">
        <v>16</v>
      </c>
      <c r="BU42" s="77" t="e">
        <f>#REF!</f>
        <v>#REF!</v>
      </c>
      <c r="BV42" s="70" t="s">
        <v>226</v>
      </c>
    </row>
    <row r="43" spans="1:74" ht="67.5" customHeight="1" x14ac:dyDescent="0.25">
      <c r="A43" s="104"/>
      <c r="B43" s="81" t="s">
        <v>138</v>
      </c>
      <c r="C43" s="303" t="s">
        <v>917</v>
      </c>
      <c r="D43" s="304"/>
      <c r="E43" s="304"/>
      <c r="F43" s="304"/>
      <c r="G43" s="304"/>
      <c r="H43" s="304"/>
      <c r="I43" s="304"/>
      <c r="J43" s="304"/>
      <c r="K43" s="304"/>
      <c r="L43" s="304"/>
      <c r="M43" s="305"/>
    </row>
    <row r="44" spans="1:74" x14ac:dyDescent="0.25">
      <c r="A44" s="92" t="s">
        <v>204</v>
      </c>
      <c r="B44" s="69" t="s">
        <v>918</v>
      </c>
      <c r="C44" s="306" t="s">
        <v>230</v>
      </c>
      <c r="D44" s="307"/>
      <c r="E44" s="69" t="s">
        <v>177</v>
      </c>
      <c r="F44" s="77">
        <v>8.27</v>
      </c>
      <c r="G44" s="218">
        <v>0</v>
      </c>
      <c r="H44" s="77">
        <f>F44*AM44</f>
        <v>0</v>
      </c>
      <c r="I44" s="77">
        <f>F44*AN44</f>
        <v>0</v>
      </c>
      <c r="J44" s="77">
        <f>F44*G44</f>
        <v>0</v>
      </c>
      <c r="K44" s="77">
        <v>0</v>
      </c>
      <c r="L44" s="77">
        <f>F44*K44</f>
        <v>0</v>
      </c>
      <c r="M44" s="103" t="s">
        <v>35</v>
      </c>
      <c r="X44" s="77">
        <f>IF(AO44="5",BH44,0)</f>
        <v>0</v>
      </c>
      <c r="Z44" s="77">
        <f>IF(AO44="1",BF44,0)</f>
        <v>0</v>
      </c>
      <c r="AA44" s="77">
        <f>IF(AO44="1",BG44,0)</f>
        <v>0</v>
      </c>
      <c r="AB44" s="77">
        <f>IF(AO44="7",BF44,0)</f>
        <v>0</v>
      </c>
      <c r="AC44" s="77">
        <f>IF(AO44="7",BG44,0)</f>
        <v>0</v>
      </c>
      <c r="AD44" s="77">
        <f>IF(AO44="2",BF44,0)</f>
        <v>0</v>
      </c>
      <c r="AE44" s="77">
        <f>IF(AO44="2",BG44,0)</f>
        <v>0</v>
      </c>
      <c r="AF44" s="77">
        <f>IF(AO44="0",BH44,0)</f>
        <v>0</v>
      </c>
      <c r="AG44" s="71" t="s">
        <v>129</v>
      </c>
      <c r="AH44" s="77">
        <f>IF(AL44=0,J44,0)</f>
        <v>0</v>
      </c>
      <c r="AI44" s="77">
        <f>IF(AL44=15,J44,0)</f>
        <v>0</v>
      </c>
      <c r="AJ44" s="77">
        <f>IF(AL44=21,J44,0)</f>
        <v>0</v>
      </c>
      <c r="AL44" s="77">
        <v>15</v>
      </c>
      <c r="AM44" s="77">
        <f>G44*0</f>
        <v>0</v>
      </c>
      <c r="AN44" s="77">
        <f>G44*(1-0)</f>
        <v>0</v>
      </c>
      <c r="AO44" s="79" t="s">
        <v>132</v>
      </c>
      <c r="AT44" s="77">
        <f>AU44+AV44</f>
        <v>0</v>
      </c>
      <c r="AU44" s="77">
        <f>F44*AM44</f>
        <v>0</v>
      </c>
      <c r="AV44" s="77">
        <f>F44*AN44</f>
        <v>0</v>
      </c>
      <c r="AW44" s="79" t="s">
        <v>222</v>
      </c>
      <c r="AX44" s="79" t="s">
        <v>147</v>
      </c>
      <c r="AY44" s="71" t="s">
        <v>137</v>
      </c>
      <c r="BA44" s="77">
        <f>AU44+AV44</f>
        <v>0</v>
      </c>
      <c r="BB44" s="77">
        <f>G44/(100-BC44)*100</f>
        <v>0</v>
      </c>
      <c r="BC44" s="77">
        <v>0</v>
      </c>
      <c r="BD44" s="77">
        <f>L44</f>
        <v>0</v>
      </c>
      <c r="BF44" s="77">
        <f>F44*AM44</f>
        <v>0</v>
      </c>
      <c r="BG44" s="77">
        <f>F44*AN44</f>
        <v>0</v>
      </c>
      <c r="BH44" s="77">
        <f>F44*G44</f>
        <v>0</v>
      </c>
      <c r="BI44" s="77"/>
      <c r="BJ44" s="77">
        <v>16</v>
      </c>
      <c r="BU44" s="77" t="e">
        <f>#REF!</f>
        <v>#REF!</v>
      </c>
      <c r="BV44" s="70" t="s">
        <v>230</v>
      </c>
    </row>
    <row r="45" spans="1:74" ht="67.5" customHeight="1" x14ac:dyDescent="0.25">
      <c r="A45" s="104"/>
      <c r="B45" s="81" t="s">
        <v>138</v>
      </c>
      <c r="C45" s="303" t="s">
        <v>919</v>
      </c>
      <c r="D45" s="304"/>
      <c r="E45" s="304"/>
      <c r="F45" s="304"/>
      <c r="G45" s="304"/>
      <c r="H45" s="304"/>
      <c r="I45" s="304"/>
      <c r="J45" s="304"/>
      <c r="K45" s="304"/>
      <c r="L45" s="304"/>
      <c r="M45" s="305"/>
    </row>
    <row r="46" spans="1:74" x14ac:dyDescent="0.25">
      <c r="A46" s="92" t="s">
        <v>209</v>
      </c>
      <c r="B46" s="69" t="s">
        <v>920</v>
      </c>
      <c r="C46" s="306" t="s">
        <v>234</v>
      </c>
      <c r="D46" s="307"/>
      <c r="E46" s="69" t="s">
        <v>177</v>
      </c>
      <c r="F46" s="77">
        <v>5</v>
      </c>
      <c r="G46" s="218">
        <v>0</v>
      </c>
      <c r="H46" s="77">
        <f>F46*AM46</f>
        <v>0</v>
      </c>
      <c r="I46" s="77">
        <f>F46*AN46</f>
        <v>0</v>
      </c>
      <c r="J46" s="77">
        <f>F46*G46</f>
        <v>0</v>
      </c>
      <c r="K46" s="77">
        <v>0</v>
      </c>
      <c r="L46" s="77">
        <f>F46*K46</f>
        <v>0</v>
      </c>
      <c r="M46" s="103" t="s">
        <v>35</v>
      </c>
      <c r="X46" s="77">
        <f>IF(AO46="5",BH46,0)</f>
        <v>0</v>
      </c>
      <c r="Z46" s="77">
        <f>IF(AO46="1",BF46,0)</f>
        <v>0</v>
      </c>
      <c r="AA46" s="77">
        <f>IF(AO46="1",BG46,0)</f>
        <v>0</v>
      </c>
      <c r="AB46" s="77">
        <f>IF(AO46="7",BF46,0)</f>
        <v>0</v>
      </c>
      <c r="AC46" s="77">
        <f>IF(AO46="7",BG46,0)</f>
        <v>0</v>
      </c>
      <c r="AD46" s="77">
        <f>IF(AO46="2",BF46,0)</f>
        <v>0</v>
      </c>
      <c r="AE46" s="77">
        <f>IF(AO46="2",BG46,0)</f>
        <v>0</v>
      </c>
      <c r="AF46" s="77">
        <f>IF(AO46="0",BH46,0)</f>
        <v>0</v>
      </c>
      <c r="AG46" s="71" t="s">
        <v>129</v>
      </c>
      <c r="AH46" s="77">
        <f>IF(AL46=0,J46,0)</f>
        <v>0</v>
      </c>
      <c r="AI46" s="77">
        <f>IF(AL46=15,J46,0)</f>
        <v>0</v>
      </c>
      <c r="AJ46" s="77">
        <f>IF(AL46=21,J46,0)</f>
        <v>0</v>
      </c>
      <c r="AL46" s="77">
        <v>15</v>
      </c>
      <c r="AM46" s="77">
        <f>G46*0</f>
        <v>0</v>
      </c>
      <c r="AN46" s="77">
        <f>G46*(1-0)</f>
        <v>0</v>
      </c>
      <c r="AO46" s="79" t="s">
        <v>132</v>
      </c>
      <c r="AT46" s="77">
        <f>AU46+AV46</f>
        <v>0</v>
      </c>
      <c r="AU46" s="77">
        <f>F46*AM46</f>
        <v>0</v>
      </c>
      <c r="AV46" s="77">
        <f>F46*AN46</f>
        <v>0</v>
      </c>
      <c r="AW46" s="79" t="s">
        <v>222</v>
      </c>
      <c r="AX46" s="79" t="s">
        <v>147</v>
      </c>
      <c r="AY46" s="71" t="s">
        <v>137</v>
      </c>
      <c r="BA46" s="77">
        <f>AU46+AV46</f>
        <v>0</v>
      </c>
      <c r="BB46" s="77">
        <f>G46/(100-BC46)*100</f>
        <v>0</v>
      </c>
      <c r="BC46" s="77">
        <v>0</v>
      </c>
      <c r="BD46" s="77">
        <f>L46</f>
        <v>0</v>
      </c>
      <c r="BF46" s="77">
        <f>F46*AM46</f>
        <v>0</v>
      </c>
      <c r="BG46" s="77">
        <f>F46*AN46</f>
        <v>0</v>
      </c>
      <c r="BH46" s="77">
        <f>F46*G46</f>
        <v>0</v>
      </c>
      <c r="BI46" s="77"/>
      <c r="BJ46" s="77">
        <v>16</v>
      </c>
      <c r="BU46" s="77" t="e">
        <f>#REF!</f>
        <v>#REF!</v>
      </c>
      <c r="BV46" s="70" t="s">
        <v>234</v>
      </c>
    </row>
    <row r="47" spans="1:74" ht="54" customHeight="1" x14ac:dyDescent="0.25">
      <c r="A47" s="104"/>
      <c r="B47" s="81" t="s">
        <v>138</v>
      </c>
      <c r="C47" s="303" t="s">
        <v>921</v>
      </c>
      <c r="D47" s="304"/>
      <c r="E47" s="304"/>
      <c r="F47" s="304"/>
      <c r="G47" s="304"/>
      <c r="H47" s="304"/>
      <c r="I47" s="304"/>
      <c r="J47" s="304"/>
      <c r="K47" s="304"/>
      <c r="L47" s="304"/>
      <c r="M47" s="305"/>
    </row>
    <row r="48" spans="1:74" x14ac:dyDescent="0.25">
      <c r="A48" s="92" t="s">
        <v>214</v>
      </c>
      <c r="B48" s="69" t="s">
        <v>840</v>
      </c>
      <c r="C48" s="306" t="s">
        <v>841</v>
      </c>
      <c r="D48" s="307"/>
      <c r="E48" s="69" t="s">
        <v>177</v>
      </c>
      <c r="F48" s="77">
        <v>25.98</v>
      </c>
      <c r="G48" s="218">
        <v>0</v>
      </c>
      <c r="H48" s="77">
        <f>F48*AM48</f>
        <v>0</v>
      </c>
      <c r="I48" s="77">
        <f>F48*AN48</f>
        <v>0</v>
      </c>
      <c r="J48" s="77">
        <f>F48*G48</f>
        <v>0</v>
      </c>
      <c r="K48" s="77">
        <v>0</v>
      </c>
      <c r="L48" s="77">
        <f>F48*K48</f>
        <v>0</v>
      </c>
      <c r="M48" s="103" t="s">
        <v>35</v>
      </c>
      <c r="X48" s="77">
        <f>IF(AO48="5",BH48,0)</f>
        <v>0</v>
      </c>
      <c r="Z48" s="77">
        <f>IF(AO48="1",BF48,0)</f>
        <v>0</v>
      </c>
      <c r="AA48" s="77">
        <f>IF(AO48="1",BG48,0)</f>
        <v>0</v>
      </c>
      <c r="AB48" s="77">
        <f>IF(AO48="7",BF48,0)</f>
        <v>0</v>
      </c>
      <c r="AC48" s="77">
        <f>IF(AO48="7",BG48,0)</f>
        <v>0</v>
      </c>
      <c r="AD48" s="77">
        <f>IF(AO48="2",BF48,0)</f>
        <v>0</v>
      </c>
      <c r="AE48" s="77">
        <f>IF(AO48="2",BG48,0)</f>
        <v>0</v>
      </c>
      <c r="AF48" s="77">
        <f>IF(AO48="0",BH48,0)</f>
        <v>0</v>
      </c>
      <c r="AG48" s="71" t="s">
        <v>129</v>
      </c>
      <c r="AH48" s="77">
        <f>IF(AL48=0,J48,0)</f>
        <v>0</v>
      </c>
      <c r="AI48" s="77">
        <f>IF(AL48=15,J48,0)</f>
        <v>0</v>
      </c>
      <c r="AJ48" s="77">
        <f>IF(AL48=21,J48,0)</f>
        <v>0</v>
      </c>
      <c r="AL48" s="77">
        <v>15</v>
      </c>
      <c r="AM48" s="77">
        <f>G48*0</f>
        <v>0</v>
      </c>
      <c r="AN48" s="77">
        <f>G48*(1-0)</f>
        <v>0</v>
      </c>
      <c r="AO48" s="79" t="s">
        <v>132</v>
      </c>
      <c r="AT48" s="77">
        <f>AU48+AV48</f>
        <v>0</v>
      </c>
      <c r="AU48" s="77">
        <f>F48*AM48</f>
        <v>0</v>
      </c>
      <c r="AV48" s="77">
        <f>F48*AN48</f>
        <v>0</v>
      </c>
      <c r="AW48" s="79" t="s">
        <v>222</v>
      </c>
      <c r="AX48" s="79" t="s">
        <v>147</v>
      </c>
      <c r="AY48" s="71" t="s">
        <v>137</v>
      </c>
      <c r="BA48" s="77">
        <f>AU48+AV48</f>
        <v>0</v>
      </c>
      <c r="BB48" s="77">
        <f>G48/(100-BC48)*100</f>
        <v>0</v>
      </c>
      <c r="BC48" s="77">
        <v>0</v>
      </c>
      <c r="BD48" s="77">
        <f>L48</f>
        <v>0</v>
      </c>
      <c r="BF48" s="77">
        <f>F48*AM48</f>
        <v>0</v>
      </c>
      <c r="BG48" s="77">
        <f>F48*AN48</f>
        <v>0</v>
      </c>
      <c r="BH48" s="77">
        <f>F48*G48</f>
        <v>0</v>
      </c>
      <c r="BI48" s="77"/>
      <c r="BJ48" s="77">
        <v>16</v>
      </c>
      <c r="BU48" s="77" t="e">
        <f>#REF!</f>
        <v>#REF!</v>
      </c>
      <c r="BV48" s="70" t="s">
        <v>841</v>
      </c>
    </row>
    <row r="49" spans="1:74" ht="40.5" customHeight="1" x14ac:dyDescent="0.25">
      <c r="A49" s="104"/>
      <c r="B49" s="81" t="s">
        <v>138</v>
      </c>
      <c r="C49" s="303" t="s">
        <v>922</v>
      </c>
      <c r="D49" s="304"/>
      <c r="E49" s="304"/>
      <c r="F49" s="304"/>
      <c r="G49" s="304"/>
      <c r="H49" s="304"/>
      <c r="I49" s="304"/>
      <c r="J49" s="304"/>
      <c r="K49" s="304"/>
      <c r="L49" s="304"/>
      <c r="M49" s="305"/>
    </row>
    <row r="50" spans="1:74" ht="25.5" x14ac:dyDescent="0.25">
      <c r="A50" s="92" t="s">
        <v>219</v>
      </c>
      <c r="B50" s="69" t="s">
        <v>241</v>
      </c>
      <c r="C50" s="306" t="s">
        <v>242</v>
      </c>
      <c r="D50" s="307"/>
      <c r="E50" s="69" t="s">
        <v>177</v>
      </c>
      <c r="F50" s="77">
        <v>25.98</v>
      </c>
      <c r="G50" s="218">
        <v>0</v>
      </c>
      <c r="H50" s="77">
        <f>F50*AM50</f>
        <v>0</v>
      </c>
      <c r="I50" s="77">
        <f>F50*AN50</f>
        <v>0</v>
      </c>
      <c r="J50" s="77">
        <f>F50*G50</f>
        <v>0</v>
      </c>
      <c r="K50" s="77">
        <v>0</v>
      </c>
      <c r="L50" s="77">
        <f>F50*K50</f>
        <v>0</v>
      </c>
      <c r="M50" s="103" t="s">
        <v>35</v>
      </c>
      <c r="X50" s="77">
        <f>IF(AO50="5",BH50,0)</f>
        <v>0</v>
      </c>
      <c r="Z50" s="77">
        <f>IF(AO50="1",BF50,0)</f>
        <v>0</v>
      </c>
      <c r="AA50" s="77">
        <f>IF(AO50="1",BG50,0)</f>
        <v>0</v>
      </c>
      <c r="AB50" s="77">
        <f>IF(AO50="7",BF50,0)</f>
        <v>0</v>
      </c>
      <c r="AC50" s="77">
        <f>IF(AO50="7",BG50,0)</f>
        <v>0</v>
      </c>
      <c r="AD50" s="77">
        <f>IF(AO50="2",BF50,0)</f>
        <v>0</v>
      </c>
      <c r="AE50" s="77">
        <f>IF(AO50="2",BG50,0)</f>
        <v>0</v>
      </c>
      <c r="AF50" s="77">
        <f>IF(AO50="0",BH50,0)</f>
        <v>0</v>
      </c>
      <c r="AG50" s="71" t="s">
        <v>129</v>
      </c>
      <c r="AH50" s="77">
        <f>IF(AL50=0,J50,0)</f>
        <v>0</v>
      </c>
      <c r="AI50" s="77">
        <f>IF(AL50=15,J50,0)</f>
        <v>0</v>
      </c>
      <c r="AJ50" s="77">
        <f>IF(AL50=21,J50,0)</f>
        <v>0</v>
      </c>
      <c r="AL50" s="77">
        <v>15</v>
      </c>
      <c r="AM50" s="77">
        <f>G50*0</f>
        <v>0</v>
      </c>
      <c r="AN50" s="77">
        <f>G50*(1-0)</f>
        <v>0</v>
      </c>
      <c r="AO50" s="79" t="s">
        <v>132</v>
      </c>
      <c r="AT50" s="77">
        <f>AU50+AV50</f>
        <v>0</v>
      </c>
      <c r="AU50" s="77">
        <f>F50*AM50</f>
        <v>0</v>
      </c>
      <c r="AV50" s="77">
        <f>F50*AN50</f>
        <v>0</v>
      </c>
      <c r="AW50" s="79" t="s">
        <v>222</v>
      </c>
      <c r="AX50" s="79" t="s">
        <v>147</v>
      </c>
      <c r="AY50" s="71" t="s">
        <v>137</v>
      </c>
      <c r="BA50" s="77">
        <f>AU50+AV50</f>
        <v>0</v>
      </c>
      <c r="BB50" s="77">
        <f>G50/(100-BC50)*100</f>
        <v>0</v>
      </c>
      <c r="BC50" s="77">
        <v>0</v>
      </c>
      <c r="BD50" s="77">
        <f>L50</f>
        <v>0</v>
      </c>
      <c r="BF50" s="77">
        <f>F50*AM50</f>
        <v>0</v>
      </c>
      <c r="BG50" s="77">
        <f>F50*AN50</f>
        <v>0</v>
      </c>
      <c r="BH50" s="77">
        <f>F50*G50</f>
        <v>0</v>
      </c>
      <c r="BI50" s="77"/>
      <c r="BJ50" s="77">
        <v>16</v>
      </c>
      <c r="BU50" s="77" t="e">
        <f>#REF!</f>
        <v>#REF!</v>
      </c>
      <c r="BV50" s="70" t="s">
        <v>242</v>
      </c>
    </row>
    <row r="51" spans="1:74" ht="40.5" customHeight="1" x14ac:dyDescent="0.25">
      <c r="A51" s="104"/>
      <c r="B51" s="81" t="s">
        <v>138</v>
      </c>
      <c r="C51" s="303" t="s">
        <v>923</v>
      </c>
      <c r="D51" s="304"/>
      <c r="E51" s="304"/>
      <c r="F51" s="304"/>
      <c r="G51" s="304"/>
      <c r="H51" s="304"/>
      <c r="I51" s="304"/>
      <c r="J51" s="304"/>
      <c r="K51" s="304"/>
      <c r="L51" s="304"/>
      <c r="M51" s="305"/>
    </row>
    <row r="52" spans="1:74" x14ac:dyDescent="0.25">
      <c r="A52" s="105" t="s">
        <v>129</v>
      </c>
      <c r="B52" s="74" t="s">
        <v>214</v>
      </c>
      <c r="C52" s="314" t="s">
        <v>244</v>
      </c>
      <c r="D52" s="315"/>
      <c r="E52" s="75" t="s">
        <v>87</v>
      </c>
      <c r="F52" s="75" t="s">
        <v>87</v>
      </c>
      <c r="G52" s="75" t="s">
        <v>87</v>
      </c>
      <c r="H52" s="67">
        <f>SUM(H53:H57)</f>
        <v>0</v>
      </c>
      <c r="I52" s="67">
        <f>SUM(I53:I57)</f>
        <v>0</v>
      </c>
      <c r="J52" s="67">
        <f>SUM(J53:J57)</f>
        <v>0</v>
      </c>
      <c r="K52" s="71" t="s">
        <v>129</v>
      </c>
      <c r="L52" s="67">
        <f>SUM(L53:L57)</f>
        <v>11.542999999999999</v>
      </c>
      <c r="M52" s="106" t="s">
        <v>129</v>
      </c>
      <c r="AG52" s="71" t="s">
        <v>129</v>
      </c>
      <c r="AQ52" s="67">
        <f>SUM(AH53:AH57)</f>
        <v>0</v>
      </c>
      <c r="AR52" s="67">
        <f>SUM(AI53:AI57)</f>
        <v>0</v>
      </c>
      <c r="AS52" s="67">
        <f>SUM(AJ53:AJ57)</f>
        <v>0</v>
      </c>
    </row>
    <row r="53" spans="1:74" x14ac:dyDescent="0.25">
      <c r="A53" s="92" t="s">
        <v>224</v>
      </c>
      <c r="B53" s="69" t="s">
        <v>246</v>
      </c>
      <c r="C53" s="306" t="s">
        <v>247</v>
      </c>
      <c r="D53" s="307"/>
      <c r="E53" s="69" t="s">
        <v>177</v>
      </c>
      <c r="F53" s="77">
        <v>6.79</v>
      </c>
      <c r="G53" s="218">
        <v>0</v>
      </c>
      <c r="H53" s="77">
        <f>F53*AM53</f>
        <v>0</v>
      </c>
      <c r="I53" s="77">
        <f>F53*AN53</f>
        <v>0</v>
      </c>
      <c r="J53" s="77">
        <f>F53*G53</f>
        <v>0</v>
      </c>
      <c r="K53" s="77">
        <v>1.7</v>
      </c>
      <c r="L53" s="77">
        <f>F53*K53</f>
        <v>11.542999999999999</v>
      </c>
      <c r="M53" s="103" t="s">
        <v>35</v>
      </c>
      <c r="X53" s="77">
        <f>IF(AO53="5",BH53,0)</f>
        <v>0</v>
      </c>
      <c r="Z53" s="77">
        <f>IF(AO53="1",BF53,0)</f>
        <v>0</v>
      </c>
      <c r="AA53" s="77">
        <f>IF(AO53="1",BG53,0)</f>
        <v>0</v>
      </c>
      <c r="AB53" s="77">
        <f>IF(AO53="7",BF53,0)</f>
        <v>0</v>
      </c>
      <c r="AC53" s="77">
        <f>IF(AO53="7",BG53,0)</f>
        <v>0</v>
      </c>
      <c r="AD53" s="77">
        <f>IF(AO53="2",BF53,0)</f>
        <v>0</v>
      </c>
      <c r="AE53" s="77">
        <f>IF(AO53="2",BG53,0)</f>
        <v>0</v>
      </c>
      <c r="AF53" s="77">
        <f>IF(AO53="0",BH53,0)</f>
        <v>0</v>
      </c>
      <c r="AG53" s="71" t="s">
        <v>129</v>
      </c>
      <c r="AH53" s="77">
        <f>IF(AL53=0,J53,0)</f>
        <v>0</v>
      </c>
      <c r="AI53" s="77">
        <f>IF(AL53=15,J53,0)</f>
        <v>0</v>
      </c>
      <c r="AJ53" s="77">
        <f>IF(AL53=21,J53,0)</f>
        <v>0</v>
      </c>
      <c r="AL53" s="77">
        <v>15</v>
      </c>
      <c r="AM53" s="77">
        <f>G53*0.512973776</f>
        <v>0</v>
      </c>
      <c r="AN53" s="77">
        <f>G53*(1-0.512973776)</f>
        <v>0</v>
      </c>
      <c r="AO53" s="79" t="s">
        <v>132</v>
      </c>
      <c r="AT53" s="77">
        <f>AU53+AV53</f>
        <v>0</v>
      </c>
      <c r="AU53" s="77">
        <f>F53*AM53</f>
        <v>0</v>
      </c>
      <c r="AV53" s="77">
        <f>F53*AN53</f>
        <v>0</v>
      </c>
      <c r="AW53" s="79" t="s">
        <v>248</v>
      </c>
      <c r="AX53" s="79" t="s">
        <v>147</v>
      </c>
      <c r="AY53" s="71" t="s">
        <v>137</v>
      </c>
      <c r="BA53" s="77">
        <f>AU53+AV53</f>
        <v>0</v>
      </c>
      <c r="BB53" s="77">
        <f>G53/(100-BC53)*100</f>
        <v>0</v>
      </c>
      <c r="BC53" s="77">
        <v>0</v>
      </c>
      <c r="BD53" s="77">
        <f>L53</f>
        <v>11.542999999999999</v>
      </c>
      <c r="BF53" s="77">
        <f>F53*AM53</f>
        <v>0</v>
      </c>
      <c r="BG53" s="77">
        <f>F53*AN53</f>
        <v>0</v>
      </c>
      <c r="BH53" s="77">
        <f>F53*G53</f>
        <v>0</v>
      </c>
      <c r="BI53" s="77"/>
      <c r="BJ53" s="77">
        <v>17</v>
      </c>
      <c r="BU53" s="77" t="e">
        <f>#REF!</f>
        <v>#REF!</v>
      </c>
      <c r="BV53" s="70" t="s">
        <v>247</v>
      </c>
    </row>
    <row r="54" spans="1:74" ht="54" customHeight="1" thickBot="1" x14ac:dyDescent="0.3">
      <c r="A54" s="107"/>
      <c r="B54" s="108" t="s">
        <v>138</v>
      </c>
      <c r="C54" s="308" t="s">
        <v>924</v>
      </c>
      <c r="D54" s="309"/>
      <c r="E54" s="309"/>
      <c r="F54" s="309"/>
      <c r="G54" s="309"/>
      <c r="H54" s="309"/>
      <c r="I54" s="309"/>
      <c r="J54" s="309"/>
      <c r="K54" s="309"/>
      <c r="L54" s="309"/>
      <c r="M54" s="310"/>
    </row>
    <row r="55" spans="1:74" x14ac:dyDescent="0.25">
      <c r="A55" s="122" t="s">
        <v>228</v>
      </c>
      <c r="B55" s="109" t="s">
        <v>251</v>
      </c>
      <c r="C55" s="312" t="s">
        <v>252</v>
      </c>
      <c r="D55" s="313"/>
      <c r="E55" s="109" t="s">
        <v>177</v>
      </c>
      <c r="F55" s="123">
        <v>6.79</v>
      </c>
      <c r="G55" s="219">
        <v>0</v>
      </c>
      <c r="H55" s="123">
        <f>F55*AM55</f>
        <v>0</v>
      </c>
      <c r="I55" s="123">
        <f>F55*AN55</f>
        <v>0</v>
      </c>
      <c r="J55" s="123">
        <f>F55*G55</f>
        <v>0</v>
      </c>
      <c r="K55" s="123">
        <v>0</v>
      </c>
      <c r="L55" s="123">
        <f>F55*K55</f>
        <v>0</v>
      </c>
      <c r="M55" s="124" t="s">
        <v>35</v>
      </c>
      <c r="X55" s="77">
        <f>IF(AO55="5",BH55,0)</f>
        <v>0</v>
      </c>
      <c r="Z55" s="77">
        <f>IF(AO55="1",BF55,0)</f>
        <v>0</v>
      </c>
      <c r="AA55" s="77">
        <f>IF(AO55="1",BG55,0)</f>
        <v>0</v>
      </c>
      <c r="AB55" s="77">
        <f>IF(AO55="7",BF55,0)</f>
        <v>0</v>
      </c>
      <c r="AC55" s="77">
        <f>IF(AO55="7",BG55,0)</f>
        <v>0</v>
      </c>
      <c r="AD55" s="77">
        <f>IF(AO55="2",BF55,0)</f>
        <v>0</v>
      </c>
      <c r="AE55" s="77">
        <f>IF(AO55="2",BG55,0)</f>
        <v>0</v>
      </c>
      <c r="AF55" s="77">
        <f>IF(AO55="0",BH55,0)</f>
        <v>0</v>
      </c>
      <c r="AG55" s="71" t="s">
        <v>129</v>
      </c>
      <c r="AH55" s="77">
        <f>IF(AL55=0,J55,0)</f>
        <v>0</v>
      </c>
      <c r="AI55" s="77">
        <f>IF(AL55=15,J55,0)</f>
        <v>0</v>
      </c>
      <c r="AJ55" s="77">
        <f>IF(AL55=21,J55,0)</f>
        <v>0</v>
      </c>
      <c r="AL55" s="77">
        <v>15</v>
      </c>
      <c r="AM55" s="77">
        <f>G55*0</f>
        <v>0</v>
      </c>
      <c r="AN55" s="77">
        <f>G55*(1-0)</f>
        <v>0</v>
      </c>
      <c r="AO55" s="79" t="s">
        <v>132</v>
      </c>
      <c r="AT55" s="77">
        <f>AU55+AV55</f>
        <v>0</v>
      </c>
      <c r="AU55" s="77">
        <f>F55*AM55</f>
        <v>0</v>
      </c>
      <c r="AV55" s="77">
        <f>F55*AN55</f>
        <v>0</v>
      </c>
      <c r="AW55" s="79" t="s">
        <v>248</v>
      </c>
      <c r="AX55" s="79" t="s">
        <v>147</v>
      </c>
      <c r="AY55" s="71" t="s">
        <v>137</v>
      </c>
      <c r="BA55" s="77">
        <f>AU55+AV55</f>
        <v>0</v>
      </c>
      <c r="BB55" s="77">
        <f>G55/(100-BC55)*100</f>
        <v>0</v>
      </c>
      <c r="BC55" s="77">
        <v>0</v>
      </c>
      <c r="BD55" s="77">
        <f>L55</f>
        <v>0</v>
      </c>
      <c r="BF55" s="77">
        <f>F55*AM55</f>
        <v>0</v>
      </c>
      <c r="BG55" s="77">
        <f>F55*AN55</f>
        <v>0</v>
      </c>
      <c r="BH55" s="77">
        <f>F55*G55</f>
        <v>0</v>
      </c>
      <c r="BI55" s="77"/>
      <c r="BJ55" s="77">
        <v>17</v>
      </c>
      <c r="BU55" s="77" t="e">
        <f>#REF!</f>
        <v>#REF!</v>
      </c>
      <c r="BV55" s="70" t="s">
        <v>252</v>
      </c>
    </row>
    <row r="56" spans="1:74" ht="40.5" customHeight="1" x14ac:dyDescent="0.25">
      <c r="A56" s="104"/>
      <c r="B56" s="81" t="s">
        <v>138</v>
      </c>
      <c r="C56" s="303" t="s">
        <v>925</v>
      </c>
      <c r="D56" s="304"/>
      <c r="E56" s="304"/>
      <c r="F56" s="304"/>
      <c r="G56" s="304"/>
      <c r="H56" s="304"/>
      <c r="I56" s="304"/>
      <c r="J56" s="304"/>
      <c r="K56" s="304"/>
      <c r="L56" s="304"/>
      <c r="M56" s="305"/>
    </row>
    <row r="57" spans="1:74" x14ac:dyDescent="0.25">
      <c r="A57" s="92" t="s">
        <v>232</v>
      </c>
      <c r="B57" s="69" t="s">
        <v>254</v>
      </c>
      <c r="C57" s="306" t="s">
        <v>255</v>
      </c>
      <c r="D57" s="307"/>
      <c r="E57" s="69" t="s">
        <v>177</v>
      </c>
      <c r="F57" s="77">
        <v>12.99</v>
      </c>
      <c r="G57" s="218">
        <v>0</v>
      </c>
      <c r="H57" s="77">
        <f>F57*AM57</f>
        <v>0</v>
      </c>
      <c r="I57" s="77">
        <f>F57*AN57</f>
        <v>0</v>
      </c>
      <c r="J57" s="77">
        <f>F57*G57</f>
        <v>0</v>
      </c>
      <c r="K57" s="77">
        <v>0</v>
      </c>
      <c r="L57" s="77">
        <f>F57*K57</f>
        <v>0</v>
      </c>
      <c r="M57" s="103" t="s">
        <v>35</v>
      </c>
      <c r="X57" s="77">
        <f>IF(AO57="5",BH57,0)</f>
        <v>0</v>
      </c>
      <c r="Z57" s="77">
        <f>IF(AO57="1",BF57,0)</f>
        <v>0</v>
      </c>
      <c r="AA57" s="77">
        <f>IF(AO57="1",BG57,0)</f>
        <v>0</v>
      </c>
      <c r="AB57" s="77">
        <f>IF(AO57="7",BF57,0)</f>
        <v>0</v>
      </c>
      <c r="AC57" s="77">
        <f>IF(AO57="7",BG57,0)</f>
        <v>0</v>
      </c>
      <c r="AD57" s="77">
        <f>IF(AO57="2",BF57,0)</f>
        <v>0</v>
      </c>
      <c r="AE57" s="77">
        <f>IF(AO57="2",BG57,0)</f>
        <v>0</v>
      </c>
      <c r="AF57" s="77">
        <f>IF(AO57="0",BH57,0)</f>
        <v>0</v>
      </c>
      <c r="AG57" s="71" t="s">
        <v>129</v>
      </c>
      <c r="AH57" s="77">
        <f>IF(AL57=0,J57,0)</f>
        <v>0</v>
      </c>
      <c r="AI57" s="77">
        <f>IF(AL57=15,J57,0)</f>
        <v>0</v>
      </c>
      <c r="AJ57" s="77">
        <f>IF(AL57=21,J57,0)</f>
        <v>0</v>
      </c>
      <c r="AL57" s="77">
        <v>15</v>
      </c>
      <c r="AM57" s="77">
        <f>G57*0</f>
        <v>0</v>
      </c>
      <c r="AN57" s="77">
        <f>G57*(1-0)</f>
        <v>0</v>
      </c>
      <c r="AO57" s="79" t="s">
        <v>132</v>
      </c>
      <c r="AT57" s="77">
        <f>AU57+AV57</f>
        <v>0</v>
      </c>
      <c r="AU57" s="77">
        <f>F57*AM57</f>
        <v>0</v>
      </c>
      <c r="AV57" s="77">
        <f>F57*AN57</f>
        <v>0</v>
      </c>
      <c r="AW57" s="79" t="s">
        <v>248</v>
      </c>
      <c r="AX57" s="79" t="s">
        <v>147</v>
      </c>
      <c r="AY57" s="71" t="s">
        <v>137</v>
      </c>
      <c r="BA57" s="77">
        <f>AU57+AV57</f>
        <v>0</v>
      </c>
      <c r="BB57" s="77">
        <f>G57/(100-BC57)*100</f>
        <v>0</v>
      </c>
      <c r="BC57" s="77">
        <v>0</v>
      </c>
      <c r="BD57" s="77">
        <f>L57</f>
        <v>0</v>
      </c>
      <c r="BF57" s="77">
        <f>F57*AM57</f>
        <v>0</v>
      </c>
      <c r="BG57" s="77">
        <f>F57*AN57</f>
        <v>0</v>
      </c>
      <c r="BH57" s="77">
        <f>F57*G57</f>
        <v>0</v>
      </c>
      <c r="BI57" s="77"/>
      <c r="BJ57" s="77">
        <v>17</v>
      </c>
      <c r="BU57" s="77" t="e">
        <f>#REF!</f>
        <v>#REF!</v>
      </c>
      <c r="BV57" s="70" t="s">
        <v>255</v>
      </c>
    </row>
    <row r="58" spans="1:74" ht="94.5" customHeight="1" x14ac:dyDescent="0.25">
      <c r="A58" s="104"/>
      <c r="B58" s="81" t="s">
        <v>138</v>
      </c>
      <c r="C58" s="303" t="s">
        <v>926</v>
      </c>
      <c r="D58" s="304"/>
      <c r="E58" s="304"/>
      <c r="F58" s="304"/>
      <c r="G58" s="304"/>
      <c r="H58" s="304"/>
      <c r="I58" s="304"/>
      <c r="J58" s="304"/>
      <c r="K58" s="304"/>
      <c r="L58" s="304"/>
      <c r="M58" s="305"/>
    </row>
    <row r="59" spans="1:74" x14ac:dyDescent="0.25">
      <c r="A59" s="105" t="s">
        <v>129</v>
      </c>
      <c r="B59" s="74" t="s">
        <v>224</v>
      </c>
      <c r="C59" s="314" t="s">
        <v>257</v>
      </c>
      <c r="D59" s="315"/>
      <c r="E59" s="75" t="s">
        <v>87</v>
      </c>
      <c r="F59" s="75" t="s">
        <v>87</v>
      </c>
      <c r="G59" s="75" t="s">
        <v>87</v>
      </c>
      <c r="H59" s="67">
        <f>SUM(H60:H62)</f>
        <v>0</v>
      </c>
      <c r="I59" s="67">
        <f>SUM(I60:I62)</f>
        <v>0</v>
      </c>
      <c r="J59" s="67">
        <f>SUM(J60:J62)</f>
        <v>0</v>
      </c>
      <c r="K59" s="71" t="s">
        <v>129</v>
      </c>
      <c r="L59" s="67">
        <f>SUM(L60:L62)</f>
        <v>0</v>
      </c>
      <c r="M59" s="106" t="s">
        <v>129</v>
      </c>
      <c r="AG59" s="71" t="s">
        <v>129</v>
      </c>
      <c r="AQ59" s="67">
        <f>SUM(AH60:AH62)</f>
        <v>0</v>
      </c>
      <c r="AR59" s="67">
        <f>SUM(AI60:AI62)</f>
        <v>0</v>
      </c>
      <c r="AS59" s="67">
        <f>SUM(AJ60:AJ62)</f>
        <v>0</v>
      </c>
    </row>
    <row r="60" spans="1:74" x14ac:dyDescent="0.25">
      <c r="A60" s="92" t="s">
        <v>236</v>
      </c>
      <c r="B60" s="69" t="s">
        <v>259</v>
      </c>
      <c r="C60" s="306" t="s">
        <v>260</v>
      </c>
      <c r="D60" s="307"/>
      <c r="E60" s="69" t="s">
        <v>177</v>
      </c>
      <c r="F60" s="77">
        <v>8.27</v>
      </c>
      <c r="G60" s="218">
        <v>0</v>
      </c>
      <c r="H60" s="77">
        <f>F60*AM60</f>
        <v>0</v>
      </c>
      <c r="I60" s="77">
        <f>F60*AN60</f>
        <v>0</v>
      </c>
      <c r="J60" s="77">
        <f>F60*G60</f>
        <v>0</v>
      </c>
      <c r="K60" s="77">
        <v>0</v>
      </c>
      <c r="L60" s="77">
        <f>F60*K60</f>
        <v>0</v>
      </c>
      <c r="M60" s="103" t="s">
        <v>35</v>
      </c>
      <c r="X60" s="77">
        <f>IF(AO60="5",BH60,0)</f>
        <v>0</v>
      </c>
      <c r="Z60" s="77">
        <f>IF(AO60="1",BF60,0)</f>
        <v>0</v>
      </c>
      <c r="AA60" s="77">
        <f>IF(AO60="1",BG60,0)</f>
        <v>0</v>
      </c>
      <c r="AB60" s="77">
        <f>IF(AO60="7",BF60,0)</f>
        <v>0</v>
      </c>
      <c r="AC60" s="77">
        <f>IF(AO60="7",BG60,0)</f>
        <v>0</v>
      </c>
      <c r="AD60" s="77">
        <f>IF(AO60="2",BF60,0)</f>
        <v>0</v>
      </c>
      <c r="AE60" s="77">
        <f>IF(AO60="2",BG60,0)</f>
        <v>0</v>
      </c>
      <c r="AF60" s="77">
        <f>IF(AO60="0",BH60,0)</f>
        <v>0</v>
      </c>
      <c r="AG60" s="71" t="s">
        <v>129</v>
      </c>
      <c r="AH60" s="77">
        <f>IF(AL60=0,J60,0)</f>
        <v>0</v>
      </c>
      <c r="AI60" s="77">
        <f>IF(AL60=15,J60,0)</f>
        <v>0</v>
      </c>
      <c r="AJ60" s="77">
        <f>IF(AL60=21,J60,0)</f>
        <v>0</v>
      </c>
      <c r="AL60" s="77">
        <v>15</v>
      </c>
      <c r="AM60" s="77">
        <f>G60*0</f>
        <v>0</v>
      </c>
      <c r="AN60" s="77">
        <f>G60*(1-0)</f>
        <v>0</v>
      </c>
      <c r="AO60" s="79" t="s">
        <v>132</v>
      </c>
      <c r="AT60" s="77">
        <f>AU60+AV60</f>
        <v>0</v>
      </c>
      <c r="AU60" s="77">
        <f>F60*AM60</f>
        <v>0</v>
      </c>
      <c r="AV60" s="77">
        <f>F60*AN60</f>
        <v>0</v>
      </c>
      <c r="AW60" s="79" t="s">
        <v>261</v>
      </c>
      <c r="AX60" s="79" t="s">
        <v>147</v>
      </c>
      <c r="AY60" s="71" t="s">
        <v>137</v>
      </c>
      <c r="BA60" s="77">
        <f>AU60+AV60</f>
        <v>0</v>
      </c>
      <c r="BB60" s="77">
        <f>G60/(100-BC60)*100</f>
        <v>0</v>
      </c>
      <c r="BC60" s="77">
        <v>0</v>
      </c>
      <c r="BD60" s="77">
        <f>L60</f>
        <v>0</v>
      </c>
      <c r="BF60" s="77">
        <f>F60*AM60</f>
        <v>0</v>
      </c>
      <c r="BG60" s="77">
        <f>F60*AN60</f>
        <v>0</v>
      </c>
      <c r="BH60" s="77">
        <f>F60*G60</f>
        <v>0</v>
      </c>
      <c r="BI60" s="77"/>
      <c r="BJ60" s="77">
        <v>19</v>
      </c>
      <c r="BU60" s="77" t="e">
        <f>#REF!</f>
        <v>#REF!</v>
      </c>
      <c r="BV60" s="70" t="s">
        <v>260</v>
      </c>
    </row>
    <row r="61" spans="1:74" ht="13.5" customHeight="1" x14ac:dyDescent="0.25">
      <c r="A61" s="104"/>
      <c r="B61" s="81" t="s">
        <v>138</v>
      </c>
      <c r="C61" s="303" t="s">
        <v>515</v>
      </c>
      <c r="D61" s="304"/>
      <c r="E61" s="304"/>
      <c r="F61" s="304"/>
      <c r="G61" s="304"/>
      <c r="H61" s="304"/>
      <c r="I61" s="304"/>
      <c r="J61" s="304"/>
      <c r="K61" s="304"/>
      <c r="L61" s="304"/>
      <c r="M61" s="305"/>
    </row>
    <row r="62" spans="1:74" x14ac:dyDescent="0.25">
      <c r="A62" s="92" t="s">
        <v>240</v>
      </c>
      <c r="B62" s="69" t="s">
        <v>264</v>
      </c>
      <c r="C62" s="306" t="s">
        <v>265</v>
      </c>
      <c r="D62" s="307"/>
      <c r="E62" s="69" t="s">
        <v>177</v>
      </c>
      <c r="F62" s="77">
        <v>5</v>
      </c>
      <c r="G62" s="218">
        <v>0</v>
      </c>
      <c r="H62" s="77">
        <f>F62*AM62</f>
        <v>0</v>
      </c>
      <c r="I62" s="77">
        <f>F62*AN62</f>
        <v>0</v>
      </c>
      <c r="J62" s="77">
        <f>F62*G62</f>
        <v>0</v>
      </c>
      <c r="K62" s="77">
        <v>0</v>
      </c>
      <c r="L62" s="77">
        <f>F62*K62</f>
        <v>0</v>
      </c>
      <c r="M62" s="103" t="s">
        <v>35</v>
      </c>
      <c r="X62" s="77">
        <f>IF(AO62="5",BH62,0)</f>
        <v>0</v>
      </c>
      <c r="Z62" s="77">
        <f>IF(AO62="1",BF62,0)</f>
        <v>0</v>
      </c>
      <c r="AA62" s="77">
        <f>IF(AO62="1",BG62,0)</f>
        <v>0</v>
      </c>
      <c r="AB62" s="77">
        <f>IF(AO62="7",BF62,0)</f>
        <v>0</v>
      </c>
      <c r="AC62" s="77">
        <f>IF(AO62="7",BG62,0)</f>
        <v>0</v>
      </c>
      <c r="AD62" s="77">
        <f>IF(AO62="2",BF62,0)</f>
        <v>0</v>
      </c>
      <c r="AE62" s="77">
        <f>IF(AO62="2",BG62,0)</f>
        <v>0</v>
      </c>
      <c r="AF62" s="77">
        <f>IF(AO62="0",BH62,0)</f>
        <v>0</v>
      </c>
      <c r="AG62" s="71" t="s">
        <v>129</v>
      </c>
      <c r="AH62" s="77">
        <f>IF(AL62=0,J62,0)</f>
        <v>0</v>
      </c>
      <c r="AI62" s="77">
        <f>IF(AL62=15,J62,0)</f>
        <v>0</v>
      </c>
      <c r="AJ62" s="77">
        <f>IF(AL62=21,J62,0)</f>
        <v>0</v>
      </c>
      <c r="AL62" s="77">
        <v>15</v>
      </c>
      <c r="AM62" s="77">
        <f>G62*0</f>
        <v>0</v>
      </c>
      <c r="AN62" s="77">
        <f>G62*(1-0)</f>
        <v>0</v>
      </c>
      <c r="AO62" s="79" t="s">
        <v>132</v>
      </c>
      <c r="AT62" s="77">
        <f>AU62+AV62</f>
        <v>0</v>
      </c>
      <c r="AU62" s="77">
        <f>F62*AM62</f>
        <v>0</v>
      </c>
      <c r="AV62" s="77">
        <f>F62*AN62</f>
        <v>0</v>
      </c>
      <c r="AW62" s="79" t="s">
        <v>261</v>
      </c>
      <c r="AX62" s="79" t="s">
        <v>147</v>
      </c>
      <c r="AY62" s="71" t="s">
        <v>137</v>
      </c>
      <c r="BA62" s="77">
        <f>AU62+AV62</f>
        <v>0</v>
      </c>
      <c r="BB62" s="77">
        <f>G62/(100-BC62)*100</f>
        <v>0</v>
      </c>
      <c r="BC62" s="77">
        <v>0</v>
      </c>
      <c r="BD62" s="77">
        <f>L62</f>
        <v>0</v>
      </c>
      <c r="BF62" s="77">
        <f>F62*AM62</f>
        <v>0</v>
      </c>
      <c r="BG62" s="77">
        <f>F62*AN62</f>
        <v>0</v>
      </c>
      <c r="BH62" s="77">
        <f>F62*G62</f>
        <v>0</v>
      </c>
      <c r="BI62" s="77"/>
      <c r="BJ62" s="77">
        <v>19</v>
      </c>
      <c r="BU62" s="77" t="e">
        <f>#REF!</f>
        <v>#REF!</v>
      </c>
      <c r="BV62" s="70" t="s">
        <v>265</v>
      </c>
    </row>
    <row r="63" spans="1:74" ht="13.5" customHeight="1" x14ac:dyDescent="0.25">
      <c r="A63" s="104"/>
      <c r="B63" s="81" t="s">
        <v>138</v>
      </c>
      <c r="C63" s="303" t="s">
        <v>515</v>
      </c>
      <c r="D63" s="304"/>
      <c r="E63" s="304"/>
      <c r="F63" s="304"/>
      <c r="G63" s="304"/>
      <c r="H63" s="304"/>
      <c r="I63" s="304"/>
      <c r="J63" s="304"/>
      <c r="K63" s="304"/>
      <c r="L63" s="304"/>
      <c r="M63" s="305"/>
    </row>
    <row r="64" spans="1:74" x14ac:dyDescent="0.25">
      <c r="A64" s="105" t="s">
        <v>129</v>
      </c>
      <c r="B64" s="74" t="s">
        <v>232</v>
      </c>
      <c r="C64" s="314" t="s">
        <v>267</v>
      </c>
      <c r="D64" s="315"/>
      <c r="E64" s="75" t="s">
        <v>87</v>
      </c>
      <c r="F64" s="75" t="s">
        <v>87</v>
      </c>
      <c r="G64" s="75" t="s">
        <v>87</v>
      </c>
      <c r="H64" s="67">
        <f>SUM(H65:H65)</f>
        <v>0</v>
      </c>
      <c r="I64" s="67">
        <f>SUM(I65:I65)</f>
        <v>0</v>
      </c>
      <c r="J64" s="67">
        <f>SUM(J65:J65)</f>
        <v>0</v>
      </c>
      <c r="K64" s="71" t="s">
        <v>129</v>
      </c>
      <c r="L64" s="67">
        <f>SUM(L65:L65)</f>
        <v>0</v>
      </c>
      <c r="M64" s="106" t="s">
        <v>129</v>
      </c>
      <c r="AG64" s="71" t="s">
        <v>129</v>
      </c>
      <c r="AQ64" s="67">
        <f>SUM(AH65:AH65)</f>
        <v>0</v>
      </c>
      <c r="AR64" s="67">
        <f>SUM(AI65:AI65)</f>
        <v>0</v>
      </c>
      <c r="AS64" s="67">
        <f>SUM(AJ65:AJ65)</f>
        <v>0</v>
      </c>
    </row>
    <row r="65" spans="1:74" x14ac:dyDescent="0.25">
      <c r="A65" s="92" t="s">
        <v>245</v>
      </c>
      <c r="B65" s="69" t="s">
        <v>927</v>
      </c>
      <c r="C65" s="306" t="s">
        <v>270</v>
      </c>
      <c r="D65" s="307"/>
      <c r="E65" s="69" t="s">
        <v>166</v>
      </c>
      <c r="F65" s="77">
        <v>13.2</v>
      </c>
      <c r="G65" s="218">
        <v>0</v>
      </c>
      <c r="H65" s="77">
        <f>F65*AM65</f>
        <v>0</v>
      </c>
      <c r="I65" s="77">
        <f>F65*AN65</f>
        <v>0</v>
      </c>
      <c r="J65" s="77">
        <f>F65*G65</f>
        <v>0</v>
      </c>
      <c r="K65" s="77">
        <v>0</v>
      </c>
      <c r="L65" s="77">
        <f>F65*K65</f>
        <v>0</v>
      </c>
      <c r="M65" s="103" t="s">
        <v>35</v>
      </c>
      <c r="X65" s="77">
        <f>IF(AO65="5",BH65,0)</f>
        <v>0</v>
      </c>
      <c r="Z65" s="77">
        <f>IF(AO65="1",BF65,0)</f>
        <v>0</v>
      </c>
      <c r="AA65" s="77">
        <f>IF(AO65="1",BG65,0)</f>
        <v>0</v>
      </c>
      <c r="AB65" s="77">
        <f>IF(AO65="7",BF65,0)</f>
        <v>0</v>
      </c>
      <c r="AC65" s="77">
        <f>IF(AO65="7",BG65,0)</f>
        <v>0</v>
      </c>
      <c r="AD65" s="77">
        <f>IF(AO65="2",BF65,0)</f>
        <v>0</v>
      </c>
      <c r="AE65" s="77">
        <f>IF(AO65="2",BG65,0)</f>
        <v>0</v>
      </c>
      <c r="AF65" s="77">
        <f>IF(AO65="0",BH65,0)</f>
        <v>0</v>
      </c>
      <c r="AG65" s="71" t="s">
        <v>129</v>
      </c>
      <c r="AH65" s="77">
        <f>IF(AL65=0,J65,0)</f>
        <v>0</v>
      </c>
      <c r="AI65" s="77">
        <f>IF(AL65=15,J65,0)</f>
        <v>0</v>
      </c>
      <c r="AJ65" s="77">
        <f>IF(AL65=21,J65,0)</f>
        <v>0</v>
      </c>
      <c r="AL65" s="77">
        <v>15</v>
      </c>
      <c r="AM65" s="77">
        <f>G65*0</f>
        <v>0</v>
      </c>
      <c r="AN65" s="77">
        <f>G65*(1-0)</f>
        <v>0</v>
      </c>
      <c r="AO65" s="79" t="s">
        <v>132</v>
      </c>
      <c r="AT65" s="77">
        <f>AU65+AV65</f>
        <v>0</v>
      </c>
      <c r="AU65" s="77">
        <f>F65*AM65</f>
        <v>0</v>
      </c>
      <c r="AV65" s="77">
        <f>F65*AN65</f>
        <v>0</v>
      </c>
      <c r="AW65" s="79" t="s">
        <v>271</v>
      </c>
      <c r="AX65" s="79" t="s">
        <v>272</v>
      </c>
      <c r="AY65" s="71" t="s">
        <v>137</v>
      </c>
      <c r="BA65" s="77">
        <f>AU65+AV65</f>
        <v>0</v>
      </c>
      <c r="BB65" s="77">
        <f>G65/(100-BC65)*100</f>
        <v>0</v>
      </c>
      <c r="BC65" s="77">
        <v>0</v>
      </c>
      <c r="BD65" s="77">
        <f>L65</f>
        <v>0</v>
      </c>
      <c r="BF65" s="77">
        <f>F65*AM65</f>
        <v>0</v>
      </c>
      <c r="BG65" s="77">
        <f>F65*AN65</f>
        <v>0</v>
      </c>
      <c r="BH65" s="77">
        <f>F65*G65</f>
        <v>0</v>
      </c>
      <c r="BI65" s="77"/>
      <c r="BJ65" s="77">
        <v>21</v>
      </c>
      <c r="BU65" s="77" t="e">
        <f>#REF!</f>
        <v>#REF!</v>
      </c>
      <c r="BV65" s="70" t="s">
        <v>270</v>
      </c>
    </row>
    <row r="66" spans="1:74" ht="40.5" customHeight="1" x14ac:dyDescent="0.25">
      <c r="A66" s="104"/>
      <c r="B66" s="81" t="s">
        <v>138</v>
      </c>
      <c r="C66" s="303" t="s">
        <v>928</v>
      </c>
      <c r="D66" s="304"/>
      <c r="E66" s="304"/>
      <c r="F66" s="304"/>
      <c r="G66" s="304"/>
      <c r="H66" s="304"/>
      <c r="I66" s="304"/>
      <c r="J66" s="304"/>
      <c r="K66" s="304"/>
      <c r="L66" s="304"/>
      <c r="M66" s="305"/>
    </row>
    <row r="67" spans="1:74" x14ac:dyDescent="0.25">
      <c r="A67" s="105" t="s">
        <v>129</v>
      </c>
      <c r="B67" s="74" t="s">
        <v>258</v>
      </c>
      <c r="C67" s="314" t="s">
        <v>282</v>
      </c>
      <c r="D67" s="315"/>
      <c r="E67" s="75" t="s">
        <v>87</v>
      </c>
      <c r="F67" s="75" t="s">
        <v>87</v>
      </c>
      <c r="G67" s="75" t="s">
        <v>87</v>
      </c>
      <c r="H67" s="67">
        <f>SUM(H68:H68)</f>
        <v>0</v>
      </c>
      <c r="I67" s="67">
        <f>SUM(I68:I68)</f>
        <v>0</v>
      </c>
      <c r="J67" s="67">
        <f>SUM(J68:J68)</f>
        <v>0</v>
      </c>
      <c r="K67" s="71" t="s">
        <v>129</v>
      </c>
      <c r="L67" s="67">
        <f>SUM(L68:L68)</f>
        <v>0.37877099999999997</v>
      </c>
      <c r="M67" s="106" t="s">
        <v>129</v>
      </c>
      <c r="AG67" s="71" t="s">
        <v>129</v>
      </c>
      <c r="AQ67" s="67">
        <f>SUM(AH68:AH68)</f>
        <v>0</v>
      </c>
      <c r="AR67" s="67">
        <f>SUM(AI68:AI68)</f>
        <v>0</v>
      </c>
      <c r="AS67" s="67">
        <f>SUM(AJ68:AJ68)</f>
        <v>0</v>
      </c>
    </row>
    <row r="68" spans="1:74" x14ac:dyDescent="0.25">
      <c r="A68" s="92" t="s">
        <v>250</v>
      </c>
      <c r="B68" s="69" t="s">
        <v>929</v>
      </c>
      <c r="C68" s="306" t="s">
        <v>285</v>
      </c>
      <c r="D68" s="307"/>
      <c r="E68" s="69" t="s">
        <v>177</v>
      </c>
      <c r="F68" s="77">
        <v>0.15</v>
      </c>
      <c r="G68" s="218">
        <v>0</v>
      </c>
      <c r="H68" s="77">
        <f>F68*AM68</f>
        <v>0</v>
      </c>
      <c r="I68" s="77">
        <f>F68*AN68</f>
        <v>0</v>
      </c>
      <c r="J68" s="77">
        <f>F68*G68</f>
        <v>0</v>
      </c>
      <c r="K68" s="77">
        <v>2.5251399999999999</v>
      </c>
      <c r="L68" s="77">
        <f>F68*K68</f>
        <v>0.37877099999999997</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G68*0.845491469</f>
        <v>0</v>
      </c>
      <c r="AN68" s="77">
        <f>G68*(1-0.845491469)</f>
        <v>0</v>
      </c>
      <c r="AO68" s="79" t="s">
        <v>132</v>
      </c>
      <c r="AT68" s="77">
        <f>AU68+AV68</f>
        <v>0</v>
      </c>
      <c r="AU68" s="77">
        <f>F68*AM68</f>
        <v>0</v>
      </c>
      <c r="AV68" s="77">
        <f>F68*AN68</f>
        <v>0</v>
      </c>
      <c r="AW68" s="79" t="s">
        <v>286</v>
      </c>
      <c r="AX68" s="79" t="s">
        <v>272</v>
      </c>
      <c r="AY68" s="71" t="s">
        <v>137</v>
      </c>
      <c r="BA68" s="77">
        <f>AU68+AV68</f>
        <v>0</v>
      </c>
      <c r="BB68" s="77">
        <f>G68/(100-BC68)*100</f>
        <v>0</v>
      </c>
      <c r="BC68" s="77">
        <v>0</v>
      </c>
      <c r="BD68" s="77">
        <f>L68</f>
        <v>0.37877099999999997</v>
      </c>
      <c r="BF68" s="77">
        <f>F68*AM68</f>
        <v>0</v>
      </c>
      <c r="BG68" s="77">
        <f>F68*AN68</f>
        <v>0</v>
      </c>
      <c r="BH68" s="77">
        <f>F68*G68</f>
        <v>0</v>
      </c>
      <c r="BI68" s="77"/>
      <c r="BJ68" s="77">
        <v>27</v>
      </c>
      <c r="BU68" s="77" t="e">
        <f>#REF!</f>
        <v>#REF!</v>
      </c>
      <c r="BV68" s="70" t="s">
        <v>285</v>
      </c>
    </row>
    <row r="69" spans="1:74" ht="40.5" customHeight="1" x14ac:dyDescent="0.25">
      <c r="A69" s="104"/>
      <c r="B69" s="81" t="s">
        <v>138</v>
      </c>
      <c r="C69" s="303" t="s">
        <v>930</v>
      </c>
      <c r="D69" s="304"/>
      <c r="E69" s="304"/>
      <c r="F69" s="304"/>
      <c r="G69" s="304"/>
      <c r="H69" s="304"/>
      <c r="I69" s="304"/>
      <c r="J69" s="304"/>
      <c r="K69" s="304"/>
      <c r="L69" s="304"/>
      <c r="M69" s="305"/>
    </row>
    <row r="70" spans="1:74" x14ac:dyDescent="0.25">
      <c r="A70" s="105" t="s">
        <v>129</v>
      </c>
      <c r="B70" s="74" t="s">
        <v>288</v>
      </c>
      <c r="C70" s="314" t="s">
        <v>289</v>
      </c>
      <c r="D70" s="315"/>
      <c r="E70" s="75" t="s">
        <v>87</v>
      </c>
      <c r="F70" s="75" t="s">
        <v>87</v>
      </c>
      <c r="G70" s="75" t="s">
        <v>87</v>
      </c>
      <c r="H70" s="67">
        <f>SUM(H71:H71)</f>
        <v>0</v>
      </c>
      <c r="I70" s="67">
        <f>SUM(I71:I71)</f>
        <v>0</v>
      </c>
      <c r="J70" s="67">
        <f>SUM(J71:J71)</f>
        <v>0</v>
      </c>
      <c r="K70" s="71" t="s">
        <v>129</v>
      </c>
      <c r="L70" s="67">
        <f>SUM(L71:L71)</f>
        <v>3.7437246000000002</v>
      </c>
      <c r="M70" s="106" t="s">
        <v>129</v>
      </c>
      <c r="AG70" s="71" t="s">
        <v>129</v>
      </c>
      <c r="AQ70" s="67">
        <f>SUM(AH71:AH71)</f>
        <v>0</v>
      </c>
      <c r="AR70" s="67">
        <f>SUM(AI71:AI71)</f>
        <v>0</v>
      </c>
      <c r="AS70" s="67">
        <f>SUM(AJ71:AJ71)</f>
        <v>0</v>
      </c>
    </row>
    <row r="71" spans="1:74" x14ac:dyDescent="0.25">
      <c r="A71" s="92" t="s">
        <v>253</v>
      </c>
      <c r="B71" s="69" t="s">
        <v>291</v>
      </c>
      <c r="C71" s="306" t="s">
        <v>524</v>
      </c>
      <c r="D71" s="307"/>
      <c r="E71" s="69" t="s">
        <v>177</v>
      </c>
      <c r="F71" s="77">
        <v>1.98</v>
      </c>
      <c r="G71" s="218">
        <v>0</v>
      </c>
      <c r="H71" s="77">
        <f>F71*AM71</f>
        <v>0</v>
      </c>
      <c r="I71" s="77">
        <f>F71*AN71</f>
        <v>0</v>
      </c>
      <c r="J71" s="77">
        <f>F71*G71</f>
        <v>0</v>
      </c>
      <c r="K71" s="77">
        <v>1.8907700000000001</v>
      </c>
      <c r="L71" s="77">
        <f>F71*K71</f>
        <v>3.7437246000000002</v>
      </c>
      <c r="M71" s="103" t="s">
        <v>35</v>
      </c>
      <c r="X71" s="77">
        <f>IF(AO71="5",BH71,0)</f>
        <v>0</v>
      </c>
      <c r="Z71" s="77">
        <f>IF(AO71="1",BF71,0)</f>
        <v>0</v>
      </c>
      <c r="AA71" s="77">
        <f>IF(AO71="1",BG71,0)</f>
        <v>0</v>
      </c>
      <c r="AB71" s="77">
        <f>IF(AO71="7",BF71,0)</f>
        <v>0</v>
      </c>
      <c r="AC71" s="77">
        <f>IF(AO71="7",BG71,0)</f>
        <v>0</v>
      </c>
      <c r="AD71" s="77">
        <f>IF(AO71="2",BF71,0)</f>
        <v>0</v>
      </c>
      <c r="AE71" s="77">
        <f>IF(AO71="2",BG71,0)</f>
        <v>0</v>
      </c>
      <c r="AF71" s="77">
        <f>IF(AO71="0",BH71,0)</f>
        <v>0</v>
      </c>
      <c r="AG71" s="71" t="s">
        <v>129</v>
      </c>
      <c r="AH71" s="77">
        <f>IF(AL71=0,J71,0)</f>
        <v>0</v>
      </c>
      <c r="AI71" s="77">
        <f>IF(AL71=15,J71,0)</f>
        <v>0</v>
      </c>
      <c r="AJ71" s="77">
        <f>IF(AL71=21,J71,0)</f>
        <v>0</v>
      </c>
      <c r="AL71" s="77">
        <v>15</v>
      </c>
      <c r="AM71" s="77">
        <f>G71*0.487587983</f>
        <v>0</v>
      </c>
      <c r="AN71" s="77">
        <f>G71*(1-0.487587983)</f>
        <v>0</v>
      </c>
      <c r="AO71" s="79" t="s">
        <v>132</v>
      </c>
      <c r="AT71" s="77">
        <f>AU71+AV71</f>
        <v>0</v>
      </c>
      <c r="AU71" s="77">
        <f>F71*AM71</f>
        <v>0</v>
      </c>
      <c r="AV71" s="77">
        <f>F71*AN71</f>
        <v>0</v>
      </c>
      <c r="AW71" s="79" t="s">
        <v>293</v>
      </c>
      <c r="AX71" s="79" t="s">
        <v>294</v>
      </c>
      <c r="AY71" s="71" t="s">
        <v>137</v>
      </c>
      <c r="BA71" s="77">
        <f>AU71+AV71</f>
        <v>0</v>
      </c>
      <c r="BB71" s="77">
        <f>G71/(100-BC71)*100</f>
        <v>0</v>
      </c>
      <c r="BC71" s="77">
        <v>0</v>
      </c>
      <c r="BD71" s="77">
        <f>L71</f>
        <v>3.7437246000000002</v>
      </c>
      <c r="BF71" s="77">
        <f>F71*AM71</f>
        <v>0</v>
      </c>
      <c r="BG71" s="77">
        <f>F71*AN71</f>
        <v>0</v>
      </c>
      <c r="BH71" s="77">
        <f>F71*G71</f>
        <v>0</v>
      </c>
      <c r="BI71" s="77"/>
      <c r="BJ71" s="77">
        <v>45</v>
      </c>
      <c r="BU71" s="77" t="e">
        <f>#REF!</f>
        <v>#REF!</v>
      </c>
      <c r="BV71" s="70" t="s">
        <v>524</v>
      </c>
    </row>
    <row r="72" spans="1:74" ht="67.5" customHeight="1" x14ac:dyDescent="0.25">
      <c r="A72" s="104"/>
      <c r="B72" s="81" t="s">
        <v>138</v>
      </c>
      <c r="C72" s="303" t="s">
        <v>931</v>
      </c>
      <c r="D72" s="304"/>
      <c r="E72" s="304"/>
      <c r="F72" s="304"/>
      <c r="G72" s="304"/>
      <c r="H72" s="304"/>
      <c r="I72" s="304"/>
      <c r="J72" s="304"/>
      <c r="K72" s="304"/>
      <c r="L72" s="304"/>
      <c r="M72" s="305"/>
    </row>
    <row r="73" spans="1:74" x14ac:dyDescent="0.25">
      <c r="A73" s="105" t="s">
        <v>129</v>
      </c>
      <c r="B73" s="74" t="s">
        <v>296</v>
      </c>
      <c r="C73" s="314" t="s">
        <v>297</v>
      </c>
      <c r="D73" s="315"/>
      <c r="E73" s="75" t="s">
        <v>87</v>
      </c>
      <c r="F73" s="75" t="s">
        <v>87</v>
      </c>
      <c r="G73" s="75" t="s">
        <v>87</v>
      </c>
      <c r="H73" s="67">
        <f>SUM(H74:H80)</f>
        <v>0</v>
      </c>
      <c r="I73" s="67">
        <f>SUM(I74:I80)</f>
        <v>0</v>
      </c>
      <c r="J73" s="67">
        <f>SUM(J74:J80)</f>
        <v>0</v>
      </c>
      <c r="K73" s="71" t="s">
        <v>129</v>
      </c>
      <c r="L73" s="67">
        <f>SUM(L74:L80)</f>
        <v>34.867488800000004</v>
      </c>
      <c r="M73" s="106" t="s">
        <v>129</v>
      </c>
      <c r="AG73" s="71" t="s">
        <v>129</v>
      </c>
      <c r="AQ73" s="67">
        <f>SUM(AH74:AH80)</f>
        <v>0</v>
      </c>
      <c r="AR73" s="67">
        <f>SUM(AI74:AI80)</f>
        <v>0</v>
      </c>
      <c r="AS73" s="67">
        <f>SUM(AJ74:AJ80)</f>
        <v>0</v>
      </c>
    </row>
    <row r="74" spans="1:74" x14ac:dyDescent="0.25">
      <c r="A74" s="92" t="s">
        <v>258</v>
      </c>
      <c r="B74" s="69" t="s">
        <v>299</v>
      </c>
      <c r="C74" s="306" t="s">
        <v>300</v>
      </c>
      <c r="D74" s="307"/>
      <c r="E74" s="69" t="s">
        <v>166</v>
      </c>
      <c r="F74" s="77">
        <v>18.77</v>
      </c>
      <c r="G74" s="218">
        <v>0</v>
      </c>
      <c r="H74" s="77">
        <f>F74*AM74</f>
        <v>0</v>
      </c>
      <c r="I74" s="77">
        <f>F74*AN74</f>
        <v>0</v>
      </c>
      <c r="J74" s="77">
        <f>F74*G74</f>
        <v>0</v>
      </c>
      <c r="K74" s="77">
        <v>0.46</v>
      </c>
      <c r="L74" s="77">
        <f>F74*K74</f>
        <v>8.6341999999999999</v>
      </c>
      <c r="M74" s="103" t="s">
        <v>35</v>
      </c>
      <c r="X74" s="77">
        <f>IF(AO74="5",BH74,0)</f>
        <v>0</v>
      </c>
      <c r="Z74" s="77">
        <f>IF(AO74="1",BF74,0)</f>
        <v>0</v>
      </c>
      <c r="AA74" s="77">
        <f>IF(AO74="1",BG74,0)</f>
        <v>0</v>
      </c>
      <c r="AB74" s="77">
        <f>IF(AO74="7",BF74,0)</f>
        <v>0</v>
      </c>
      <c r="AC74" s="77">
        <f>IF(AO74="7",BG74,0)</f>
        <v>0</v>
      </c>
      <c r="AD74" s="77">
        <f>IF(AO74="2",BF74,0)</f>
        <v>0</v>
      </c>
      <c r="AE74" s="77">
        <f>IF(AO74="2",BG74,0)</f>
        <v>0</v>
      </c>
      <c r="AF74" s="77">
        <f>IF(AO74="0",BH74,0)</f>
        <v>0</v>
      </c>
      <c r="AG74" s="71" t="s">
        <v>129</v>
      </c>
      <c r="AH74" s="77">
        <f>IF(AL74=0,J74,0)</f>
        <v>0</v>
      </c>
      <c r="AI74" s="77">
        <f>IF(AL74=15,J74,0)</f>
        <v>0</v>
      </c>
      <c r="AJ74" s="77">
        <f>IF(AL74=21,J74,0)</f>
        <v>0</v>
      </c>
      <c r="AL74" s="77">
        <v>15</v>
      </c>
      <c r="AM74" s="77">
        <f>G74*0.854850056</f>
        <v>0</v>
      </c>
      <c r="AN74" s="77">
        <f>G74*(1-0.854850056)</f>
        <v>0</v>
      </c>
      <c r="AO74" s="79" t="s">
        <v>132</v>
      </c>
      <c r="AT74" s="77">
        <f>AU74+AV74</f>
        <v>0</v>
      </c>
      <c r="AU74" s="77">
        <f>F74*AM74</f>
        <v>0</v>
      </c>
      <c r="AV74" s="77">
        <f>F74*AN74</f>
        <v>0</v>
      </c>
      <c r="AW74" s="79" t="s">
        <v>301</v>
      </c>
      <c r="AX74" s="79" t="s">
        <v>302</v>
      </c>
      <c r="AY74" s="71" t="s">
        <v>137</v>
      </c>
      <c r="BA74" s="77">
        <f>AU74+AV74</f>
        <v>0</v>
      </c>
      <c r="BB74" s="77">
        <f>G74/(100-BC74)*100</f>
        <v>0</v>
      </c>
      <c r="BC74" s="77">
        <v>0</v>
      </c>
      <c r="BD74" s="77">
        <f>L74</f>
        <v>8.6341999999999999</v>
      </c>
      <c r="BF74" s="77">
        <f>F74*AM74</f>
        <v>0</v>
      </c>
      <c r="BG74" s="77">
        <f>F74*AN74</f>
        <v>0</v>
      </c>
      <c r="BH74" s="77">
        <f>F74*G74</f>
        <v>0</v>
      </c>
      <c r="BI74" s="77"/>
      <c r="BJ74" s="77">
        <v>56</v>
      </c>
      <c r="BU74" s="77" t="e">
        <f>#REF!</f>
        <v>#REF!</v>
      </c>
      <c r="BV74" s="70" t="s">
        <v>300</v>
      </c>
    </row>
    <row r="75" spans="1:74" ht="40.5" customHeight="1" x14ac:dyDescent="0.25">
      <c r="A75" s="104"/>
      <c r="B75" s="81" t="s">
        <v>138</v>
      </c>
      <c r="C75" s="303" t="s">
        <v>932</v>
      </c>
      <c r="D75" s="304"/>
      <c r="E75" s="304"/>
      <c r="F75" s="304"/>
      <c r="G75" s="304"/>
      <c r="H75" s="304"/>
      <c r="I75" s="304"/>
      <c r="J75" s="304"/>
      <c r="K75" s="304"/>
      <c r="L75" s="304"/>
      <c r="M75" s="305"/>
    </row>
    <row r="76" spans="1:74" x14ac:dyDescent="0.25">
      <c r="A76" s="92" t="s">
        <v>263</v>
      </c>
      <c r="B76" s="69" t="s">
        <v>305</v>
      </c>
      <c r="C76" s="306" t="s">
        <v>306</v>
      </c>
      <c r="D76" s="307"/>
      <c r="E76" s="69" t="s">
        <v>166</v>
      </c>
      <c r="F76" s="77">
        <v>19.559999999999999</v>
      </c>
      <c r="G76" s="218">
        <v>0</v>
      </c>
      <c r="H76" s="77">
        <f>F76*AM76</f>
        <v>0</v>
      </c>
      <c r="I76" s="77">
        <f>F76*AN76</f>
        <v>0</v>
      </c>
      <c r="J76" s="77">
        <f>F76*G76</f>
        <v>0</v>
      </c>
      <c r="K76" s="77">
        <v>0.48574000000000001</v>
      </c>
      <c r="L76" s="77">
        <f>F76*K76</f>
        <v>9.5010744000000003</v>
      </c>
      <c r="M76" s="103" t="s">
        <v>35</v>
      </c>
      <c r="X76" s="77">
        <f>IF(AO76="5",BH76,0)</f>
        <v>0</v>
      </c>
      <c r="Z76" s="77">
        <f>IF(AO76="1",BF76,0)</f>
        <v>0</v>
      </c>
      <c r="AA76" s="77">
        <f>IF(AO76="1",BG76,0)</f>
        <v>0</v>
      </c>
      <c r="AB76" s="77">
        <f>IF(AO76="7",BF76,0)</f>
        <v>0</v>
      </c>
      <c r="AC76" s="77">
        <f>IF(AO76="7",BG76,0)</f>
        <v>0</v>
      </c>
      <c r="AD76" s="77">
        <f>IF(AO76="2",BF76,0)</f>
        <v>0</v>
      </c>
      <c r="AE76" s="77">
        <f>IF(AO76="2",BG76,0)</f>
        <v>0</v>
      </c>
      <c r="AF76" s="77">
        <f>IF(AO76="0",BH76,0)</f>
        <v>0</v>
      </c>
      <c r="AG76" s="71" t="s">
        <v>129</v>
      </c>
      <c r="AH76" s="77">
        <f>IF(AL76=0,J76,0)</f>
        <v>0</v>
      </c>
      <c r="AI76" s="77">
        <f>IF(AL76=15,J76,0)</f>
        <v>0</v>
      </c>
      <c r="AJ76" s="77">
        <f>IF(AL76=21,J76,0)</f>
        <v>0</v>
      </c>
      <c r="AL76" s="77">
        <v>15</v>
      </c>
      <c r="AM76" s="77">
        <f>G76*0.813414471</f>
        <v>0</v>
      </c>
      <c r="AN76" s="77">
        <f>G76*(1-0.813414471)</f>
        <v>0</v>
      </c>
      <c r="AO76" s="79" t="s">
        <v>132</v>
      </c>
      <c r="AT76" s="77">
        <f>AU76+AV76</f>
        <v>0</v>
      </c>
      <c r="AU76" s="77">
        <f>F76*AM76</f>
        <v>0</v>
      </c>
      <c r="AV76" s="77">
        <f>F76*AN76</f>
        <v>0</v>
      </c>
      <c r="AW76" s="79" t="s">
        <v>301</v>
      </c>
      <c r="AX76" s="79" t="s">
        <v>302</v>
      </c>
      <c r="AY76" s="71" t="s">
        <v>137</v>
      </c>
      <c r="BA76" s="77">
        <f>AU76+AV76</f>
        <v>0</v>
      </c>
      <c r="BB76" s="77">
        <f>G76/(100-BC76)*100</f>
        <v>0</v>
      </c>
      <c r="BC76" s="77">
        <v>0</v>
      </c>
      <c r="BD76" s="77">
        <f>L76</f>
        <v>9.5010744000000003</v>
      </c>
      <c r="BF76" s="77">
        <f>F76*AM76</f>
        <v>0</v>
      </c>
      <c r="BG76" s="77">
        <f>F76*AN76</f>
        <v>0</v>
      </c>
      <c r="BH76" s="77">
        <f>F76*G76</f>
        <v>0</v>
      </c>
      <c r="BI76" s="77"/>
      <c r="BJ76" s="77">
        <v>56</v>
      </c>
      <c r="BU76" s="77" t="e">
        <f>#REF!</f>
        <v>#REF!</v>
      </c>
      <c r="BV76" s="70" t="s">
        <v>306</v>
      </c>
    </row>
    <row r="77" spans="1:74" ht="40.5" customHeight="1" x14ac:dyDescent="0.25">
      <c r="A77" s="104"/>
      <c r="B77" s="81" t="s">
        <v>138</v>
      </c>
      <c r="C77" s="303" t="s">
        <v>933</v>
      </c>
      <c r="D77" s="304"/>
      <c r="E77" s="304"/>
      <c r="F77" s="304"/>
      <c r="G77" s="304"/>
      <c r="H77" s="304"/>
      <c r="I77" s="304"/>
      <c r="J77" s="304"/>
      <c r="K77" s="304"/>
      <c r="L77" s="304"/>
      <c r="M77" s="305"/>
    </row>
    <row r="78" spans="1:74" x14ac:dyDescent="0.25">
      <c r="A78" s="92" t="s">
        <v>268</v>
      </c>
      <c r="B78" s="69" t="s">
        <v>305</v>
      </c>
      <c r="C78" s="306" t="s">
        <v>306</v>
      </c>
      <c r="D78" s="307"/>
      <c r="E78" s="69" t="s">
        <v>166</v>
      </c>
      <c r="F78" s="77">
        <v>19.559999999999999</v>
      </c>
      <c r="G78" s="218">
        <v>0</v>
      </c>
      <c r="H78" s="77">
        <f>F78*AM78</f>
        <v>0</v>
      </c>
      <c r="I78" s="77">
        <f>F78*AN78</f>
        <v>0</v>
      </c>
      <c r="J78" s="77">
        <f>F78*G78</f>
        <v>0</v>
      </c>
      <c r="K78" s="77">
        <v>0.48574000000000001</v>
      </c>
      <c r="L78" s="77">
        <f>F78*K78</f>
        <v>9.5010744000000003</v>
      </c>
      <c r="M78" s="103" t="s">
        <v>35</v>
      </c>
      <c r="X78" s="77">
        <f>IF(AO78="5",BH78,0)</f>
        <v>0</v>
      </c>
      <c r="Z78" s="77">
        <f>IF(AO78="1",BF78,0)</f>
        <v>0</v>
      </c>
      <c r="AA78" s="77">
        <f>IF(AO78="1",BG78,0)</f>
        <v>0</v>
      </c>
      <c r="AB78" s="77">
        <f>IF(AO78="7",BF78,0)</f>
        <v>0</v>
      </c>
      <c r="AC78" s="77">
        <f>IF(AO78="7",BG78,0)</f>
        <v>0</v>
      </c>
      <c r="AD78" s="77">
        <f>IF(AO78="2",BF78,0)</f>
        <v>0</v>
      </c>
      <c r="AE78" s="77">
        <f>IF(AO78="2",BG78,0)</f>
        <v>0</v>
      </c>
      <c r="AF78" s="77">
        <f>IF(AO78="0",BH78,0)</f>
        <v>0</v>
      </c>
      <c r="AG78" s="71" t="s">
        <v>129</v>
      </c>
      <c r="AH78" s="77">
        <f>IF(AL78=0,J78,0)</f>
        <v>0</v>
      </c>
      <c r="AI78" s="77">
        <f>IF(AL78=15,J78,0)</f>
        <v>0</v>
      </c>
      <c r="AJ78" s="77">
        <f>IF(AL78=21,J78,0)</f>
        <v>0</v>
      </c>
      <c r="AL78" s="77">
        <v>15</v>
      </c>
      <c r="AM78" s="77">
        <f>G78*0.813414471</f>
        <v>0</v>
      </c>
      <c r="AN78" s="77">
        <f>G78*(1-0.813414471)</f>
        <v>0</v>
      </c>
      <c r="AO78" s="79" t="s">
        <v>132</v>
      </c>
      <c r="AT78" s="77">
        <f>AU78+AV78</f>
        <v>0</v>
      </c>
      <c r="AU78" s="77">
        <f>F78*AM78</f>
        <v>0</v>
      </c>
      <c r="AV78" s="77">
        <f>F78*AN78</f>
        <v>0</v>
      </c>
      <c r="AW78" s="79" t="s">
        <v>301</v>
      </c>
      <c r="AX78" s="79" t="s">
        <v>302</v>
      </c>
      <c r="AY78" s="71" t="s">
        <v>137</v>
      </c>
      <c r="BA78" s="77">
        <f>AU78+AV78</f>
        <v>0</v>
      </c>
      <c r="BB78" s="77">
        <f>G78/(100-BC78)*100</f>
        <v>0</v>
      </c>
      <c r="BC78" s="77">
        <v>0</v>
      </c>
      <c r="BD78" s="77">
        <f>L78</f>
        <v>9.5010744000000003</v>
      </c>
      <c r="BF78" s="77">
        <f>F78*AM78</f>
        <v>0</v>
      </c>
      <c r="BG78" s="77">
        <f>F78*AN78</f>
        <v>0</v>
      </c>
      <c r="BH78" s="77">
        <f>F78*G78</f>
        <v>0</v>
      </c>
      <c r="BI78" s="77"/>
      <c r="BJ78" s="77">
        <v>56</v>
      </c>
      <c r="BU78" s="77" t="e">
        <f>#REF!</f>
        <v>#REF!</v>
      </c>
      <c r="BV78" s="70" t="s">
        <v>306</v>
      </c>
    </row>
    <row r="79" spans="1:74" ht="40.5" customHeight="1" x14ac:dyDescent="0.25">
      <c r="A79" s="104"/>
      <c r="B79" s="81" t="s">
        <v>138</v>
      </c>
      <c r="C79" s="303" t="s">
        <v>933</v>
      </c>
      <c r="D79" s="304"/>
      <c r="E79" s="304"/>
      <c r="F79" s="304"/>
      <c r="G79" s="304"/>
      <c r="H79" s="304"/>
      <c r="I79" s="304"/>
      <c r="J79" s="304"/>
      <c r="K79" s="304"/>
      <c r="L79" s="304"/>
      <c r="M79" s="305"/>
    </row>
    <row r="80" spans="1:74" x14ac:dyDescent="0.25">
      <c r="A80" s="92" t="s">
        <v>274</v>
      </c>
      <c r="B80" s="69" t="s">
        <v>311</v>
      </c>
      <c r="C80" s="306" t="s">
        <v>312</v>
      </c>
      <c r="D80" s="307"/>
      <c r="E80" s="69" t="s">
        <v>166</v>
      </c>
      <c r="F80" s="77">
        <v>19.13</v>
      </c>
      <c r="G80" s="218">
        <v>0</v>
      </c>
      <c r="H80" s="77">
        <f>F80*AM80</f>
        <v>0</v>
      </c>
      <c r="I80" s="77">
        <f>F80*AN80</f>
        <v>0</v>
      </c>
      <c r="J80" s="77">
        <f>F80*G80</f>
        <v>0</v>
      </c>
      <c r="K80" s="77">
        <v>0.378</v>
      </c>
      <c r="L80" s="77">
        <f>F80*K80</f>
        <v>7.2311399999999999</v>
      </c>
      <c r="M80" s="103" t="s">
        <v>35</v>
      </c>
      <c r="X80" s="77">
        <f>IF(AO80="5",BH80,0)</f>
        <v>0</v>
      </c>
      <c r="Z80" s="77">
        <f>IF(AO80="1",BF80,0)</f>
        <v>0</v>
      </c>
      <c r="AA80" s="77">
        <f>IF(AO80="1",BG80,0)</f>
        <v>0</v>
      </c>
      <c r="AB80" s="77">
        <f>IF(AO80="7",BF80,0)</f>
        <v>0</v>
      </c>
      <c r="AC80" s="77">
        <f>IF(AO80="7",BG80,0)</f>
        <v>0</v>
      </c>
      <c r="AD80" s="77">
        <f>IF(AO80="2",BF80,0)</f>
        <v>0</v>
      </c>
      <c r="AE80" s="77">
        <f>IF(AO80="2",BG80,0)</f>
        <v>0</v>
      </c>
      <c r="AF80" s="77">
        <f>IF(AO80="0",BH80,0)</f>
        <v>0</v>
      </c>
      <c r="AG80" s="71" t="s">
        <v>129</v>
      </c>
      <c r="AH80" s="77">
        <f>IF(AL80=0,J80,0)</f>
        <v>0</v>
      </c>
      <c r="AI80" s="77">
        <f>IF(AL80=15,J80,0)</f>
        <v>0</v>
      </c>
      <c r="AJ80" s="77">
        <f>IF(AL80=21,J80,0)</f>
        <v>0</v>
      </c>
      <c r="AL80" s="77">
        <v>15</v>
      </c>
      <c r="AM80" s="77">
        <f>G80*0.826833577</f>
        <v>0</v>
      </c>
      <c r="AN80" s="77">
        <f>G80*(1-0.826833577)</f>
        <v>0</v>
      </c>
      <c r="AO80" s="79" t="s">
        <v>132</v>
      </c>
      <c r="AT80" s="77">
        <f>AU80+AV80</f>
        <v>0</v>
      </c>
      <c r="AU80" s="77">
        <f>F80*AM80</f>
        <v>0</v>
      </c>
      <c r="AV80" s="77">
        <f>F80*AN80</f>
        <v>0</v>
      </c>
      <c r="AW80" s="79" t="s">
        <v>301</v>
      </c>
      <c r="AX80" s="79" t="s">
        <v>302</v>
      </c>
      <c r="AY80" s="71" t="s">
        <v>137</v>
      </c>
      <c r="BA80" s="77">
        <f>AU80+AV80</f>
        <v>0</v>
      </c>
      <c r="BB80" s="77">
        <f>G80/(100-BC80)*100</f>
        <v>0</v>
      </c>
      <c r="BC80" s="77">
        <v>0</v>
      </c>
      <c r="BD80" s="77">
        <f>L80</f>
        <v>7.2311399999999999</v>
      </c>
      <c r="BF80" s="77">
        <f>F80*AM80</f>
        <v>0</v>
      </c>
      <c r="BG80" s="77">
        <f>F80*AN80</f>
        <v>0</v>
      </c>
      <c r="BH80" s="77">
        <f>F80*G80</f>
        <v>0</v>
      </c>
      <c r="BI80" s="77"/>
      <c r="BJ80" s="77">
        <v>56</v>
      </c>
      <c r="BU80" s="77" t="e">
        <f>#REF!</f>
        <v>#REF!</v>
      </c>
      <c r="BV80" s="70" t="s">
        <v>312</v>
      </c>
    </row>
    <row r="81" spans="1:74" ht="40.5" customHeight="1" x14ac:dyDescent="0.25">
      <c r="A81" s="104"/>
      <c r="B81" s="81" t="s">
        <v>138</v>
      </c>
      <c r="C81" s="303" t="s">
        <v>934</v>
      </c>
      <c r="D81" s="304"/>
      <c r="E81" s="304"/>
      <c r="F81" s="304"/>
      <c r="G81" s="304"/>
      <c r="H81" s="304"/>
      <c r="I81" s="304"/>
      <c r="J81" s="304"/>
      <c r="K81" s="304"/>
      <c r="L81" s="304"/>
      <c r="M81" s="305"/>
    </row>
    <row r="82" spans="1:74" x14ac:dyDescent="0.25">
      <c r="A82" s="105" t="s">
        <v>129</v>
      </c>
      <c r="B82" s="74" t="s">
        <v>651</v>
      </c>
      <c r="C82" s="314" t="s">
        <v>935</v>
      </c>
      <c r="D82" s="315"/>
      <c r="E82" s="75" t="s">
        <v>87</v>
      </c>
      <c r="F82" s="75" t="s">
        <v>87</v>
      </c>
      <c r="G82" s="75" t="s">
        <v>87</v>
      </c>
      <c r="H82" s="67">
        <f>SUM(H83:H83)</f>
        <v>0</v>
      </c>
      <c r="I82" s="67">
        <f>SUM(I83:I83)</f>
        <v>0</v>
      </c>
      <c r="J82" s="67">
        <f>SUM(J83:J83)</f>
        <v>0</v>
      </c>
      <c r="K82" s="71" t="s">
        <v>129</v>
      </c>
      <c r="L82" s="67">
        <f>SUM(L83:L83)</f>
        <v>6.4837500000000006</v>
      </c>
      <c r="M82" s="106" t="s">
        <v>129</v>
      </c>
      <c r="AG82" s="71" t="s">
        <v>129</v>
      </c>
      <c r="AQ82" s="67">
        <f>SUM(AH83:AH83)</f>
        <v>0</v>
      </c>
      <c r="AR82" s="67">
        <f>SUM(AI83:AI83)</f>
        <v>0</v>
      </c>
      <c r="AS82" s="67">
        <f>SUM(AJ83:AJ83)</f>
        <v>0</v>
      </c>
    </row>
    <row r="83" spans="1:74" x14ac:dyDescent="0.25">
      <c r="A83" s="92" t="s">
        <v>278</v>
      </c>
      <c r="B83" s="69" t="s">
        <v>936</v>
      </c>
      <c r="C83" s="306" t="s">
        <v>937</v>
      </c>
      <c r="D83" s="307"/>
      <c r="E83" s="69" t="s">
        <v>145</v>
      </c>
      <c r="F83" s="77">
        <v>12.5</v>
      </c>
      <c r="G83" s="218">
        <v>0</v>
      </c>
      <c r="H83" s="77">
        <f>F83*AM83</f>
        <v>0</v>
      </c>
      <c r="I83" s="77">
        <f>F83*AN83</f>
        <v>0</v>
      </c>
      <c r="J83" s="77">
        <f>F83*G83</f>
        <v>0</v>
      </c>
      <c r="K83" s="77">
        <v>0.51870000000000005</v>
      </c>
      <c r="L83" s="77">
        <f>F83*K83</f>
        <v>6.4837500000000006</v>
      </c>
      <c r="M83" s="103" t="s">
        <v>35</v>
      </c>
      <c r="X83" s="77">
        <f>IF(AO83="5",BH83,0)</f>
        <v>0</v>
      </c>
      <c r="Z83" s="77">
        <f>IF(AO83="1",BF83,0)</f>
        <v>0</v>
      </c>
      <c r="AA83" s="77">
        <f>IF(AO83="1",BG83,0)</f>
        <v>0</v>
      </c>
      <c r="AB83" s="77">
        <f>IF(AO83="7",BF83,0)</f>
        <v>0</v>
      </c>
      <c r="AC83" s="77">
        <f>IF(AO83="7",BG83,0)</f>
        <v>0</v>
      </c>
      <c r="AD83" s="77">
        <f>IF(AO83="2",BF83,0)</f>
        <v>0</v>
      </c>
      <c r="AE83" s="77">
        <f>IF(AO83="2",BG83,0)</f>
        <v>0</v>
      </c>
      <c r="AF83" s="77">
        <f>IF(AO83="0",BH83,0)</f>
        <v>0</v>
      </c>
      <c r="AG83" s="71" t="s">
        <v>129</v>
      </c>
      <c r="AH83" s="77">
        <f>IF(AL83=0,J83,0)</f>
        <v>0</v>
      </c>
      <c r="AI83" s="77">
        <f>IF(AL83=15,J83,0)</f>
        <v>0</v>
      </c>
      <c r="AJ83" s="77">
        <f>IF(AL83=21,J83,0)</f>
        <v>0</v>
      </c>
      <c r="AL83" s="77">
        <v>15</v>
      </c>
      <c r="AM83" s="77">
        <f>G83*0.329920859</f>
        <v>0</v>
      </c>
      <c r="AN83" s="77">
        <f>G83*(1-0.329920859)</f>
        <v>0</v>
      </c>
      <c r="AO83" s="79" t="s">
        <v>132</v>
      </c>
      <c r="AT83" s="77">
        <f>AU83+AV83</f>
        <v>0</v>
      </c>
      <c r="AU83" s="77">
        <f>F83*AM83</f>
        <v>0</v>
      </c>
      <c r="AV83" s="77">
        <f>F83*AN83</f>
        <v>0</v>
      </c>
      <c r="AW83" s="79" t="s">
        <v>938</v>
      </c>
      <c r="AX83" s="79" t="s">
        <v>320</v>
      </c>
      <c r="AY83" s="71" t="s">
        <v>137</v>
      </c>
      <c r="BA83" s="77">
        <f>AU83+AV83</f>
        <v>0</v>
      </c>
      <c r="BB83" s="77">
        <f>G83/(100-BC83)*100</f>
        <v>0</v>
      </c>
      <c r="BC83" s="77">
        <v>0</v>
      </c>
      <c r="BD83" s="77">
        <f>L83</f>
        <v>6.4837500000000006</v>
      </c>
      <c r="BF83" s="77">
        <f>F83*AM83</f>
        <v>0</v>
      </c>
      <c r="BG83" s="77">
        <f>F83*AN83</f>
        <v>0</v>
      </c>
      <c r="BH83" s="77">
        <f>F83*G83</f>
        <v>0</v>
      </c>
      <c r="BI83" s="77"/>
      <c r="BJ83" s="77">
        <v>83</v>
      </c>
      <c r="BU83" s="77" t="e">
        <f>#REF!</f>
        <v>#REF!</v>
      </c>
      <c r="BV83" s="70" t="s">
        <v>937</v>
      </c>
    </row>
    <row r="84" spans="1:74" ht="121.5" customHeight="1" thickBot="1" x14ac:dyDescent="0.3">
      <c r="A84" s="107"/>
      <c r="B84" s="108" t="s">
        <v>138</v>
      </c>
      <c r="C84" s="308" t="s">
        <v>939</v>
      </c>
      <c r="D84" s="309"/>
      <c r="E84" s="309"/>
      <c r="F84" s="309"/>
      <c r="G84" s="309"/>
      <c r="H84" s="309"/>
      <c r="I84" s="309"/>
      <c r="J84" s="309"/>
      <c r="K84" s="309"/>
      <c r="L84" s="309"/>
      <c r="M84" s="310"/>
    </row>
    <row r="85" spans="1:74" x14ac:dyDescent="0.25">
      <c r="A85" s="73" t="s">
        <v>129</v>
      </c>
      <c r="B85" s="74" t="s">
        <v>335</v>
      </c>
      <c r="C85" s="314" t="s">
        <v>336</v>
      </c>
      <c r="D85" s="315"/>
      <c r="E85" s="75" t="s">
        <v>87</v>
      </c>
      <c r="F85" s="75" t="s">
        <v>87</v>
      </c>
      <c r="G85" s="75" t="s">
        <v>87</v>
      </c>
      <c r="H85" s="67">
        <f>SUM(H86:H86)</f>
        <v>0</v>
      </c>
      <c r="I85" s="67">
        <f>SUM(I86:I86)</f>
        <v>0</v>
      </c>
      <c r="J85" s="67">
        <f>SUM(J86:J86)</f>
        <v>0</v>
      </c>
      <c r="K85" s="71" t="s">
        <v>129</v>
      </c>
      <c r="L85" s="67">
        <f>SUM(L86:L86)</f>
        <v>1.58684</v>
      </c>
      <c r="M85" s="76" t="s">
        <v>129</v>
      </c>
      <c r="AG85" s="71" t="s">
        <v>129</v>
      </c>
      <c r="AQ85" s="67">
        <f>SUM(AH86:AH86)</f>
        <v>0</v>
      </c>
      <c r="AR85" s="67">
        <f>SUM(AI86:AI86)</f>
        <v>0</v>
      </c>
      <c r="AS85" s="67">
        <f>SUM(AJ86:AJ86)</f>
        <v>0</v>
      </c>
    </row>
    <row r="86" spans="1:74" ht="25.5" x14ac:dyDescent="0.25">
      <c r="A86" s="68" t="s">
        <v>283</v>
      </c>
      <c r="B86" s="69" t="s">
        <v>940</v>
      </c>
      <c r="C86" s="306" t="s">
        <v>941</v>
      </c>
      <c r="D86" s="307"/>
      <c r="E86" s="69" t="s">
        <v>325</v>
      </c>
      <c r="F86" s="77">
        <v>2</v>
      </c>
      <c r="G86" s="218">
        <v>0</v>
      </c>
      <c r="H86" s="77">
        <f>F86*AM86</f>
        <v>0</v>
      </c>
      <c r="I86" s="77">
        <f>F86*AN86</f>
        <v>0</v>
      </c>
      <c r="J86" s="77">
        <f>F86*G86</f>
        <v>0</v>
      </c>
      <c r="K86" s="77">
        <v>0.79342000000000001</v>
      </c>
      <c r="L86" s="77">
        <f>F86*K86</f>
        <v>1.58684</v>
      </c>
      <c r="M86" s="78" t="s">
        <v>35</v>
      </c>
      <c r="X86" s="77">
        <f>IF(AO86="5",BH86,0)</f>
        <v>0</v>
      </c>
      <c r="Z86" s="77">
        <f>IF(AO86="1",BF86,0)</f>
        <v>0</v>
      </c>
      <c r="AA86" s="77">
        <f>IF(AO86="1",BG86,0)</f>
        <v>0</v>
      </c>
      <c r="AB86" s="77">
        <f>IF(AO86="7",BF86,0)</f>
        <v>0</v>
      </c>
      <c r="AC86" s="77">
        <f>IF(AO86="7",BG86,0)</f>
        <v>0</v>
      </c>
      <c r="AD86" s="77">
        <f>IF(AO86="2",BF86,0)</f>
        <v>0</v>
      </c>
      <c r="AE86" s="77">
        <f>IF(AO86="2",BG86,0)</f>
        <v>0</v>
      </c>
      <c r="AF86" s="77">
        <f>IF(AO86="0",BH86,0)</f>
        <v>0</v>
      </c>
      <c r="AG86" s="71" t="s">
        <v>129</v>
      </c>
      <c r="AH86" s="77">
        <f>IF(AL86=0,J86,0)</f>
        <v>0</v>
      </c>
      <c r="AI86" s="77">
        <f>IF(AL86=15,J86,0)</f>
        <v>0</v>
      </c>
      <c r="AJ86" s="77">
        <f>IF(AL86=21,J86,0)</f>
        <v>0</v>
      </c>
      <c r="AL86" s="77">
        <v>15</v>
      </c>
      <c r="AM86" s="77">
        <f>G86*0.667630751</f>
        <v>0</v>
      </c>
      <c r="AN86" s="77">
        <f>G86*(1-0.667630751)</f>
        <v>0</v>
      </c>
      <c r="AO86" s="79" t="s">
        <v>132</v>
      </c>
      <c r="AT86" s="77">
        <f>AU86+AV86</f>
        <v>0</v>
      </c>
      <c r="AU86" s="77">
        <f>F86*AM86</f>
        <v>0</v>
      </c>
      <c r="AV86" s="77">
        <f>F86*AN86</f>
        <v>0</v>
      </c>
      <c r="AW86" s="79" t="s">
        <v>340</v>
      </c>
      <c r="AX86" s="79" t="s">
        <v>320</v>
      </c>
      <c r="AY86" s="71" t="s">
        <v>137</v>
      </c>
      <c r="BA86" s="77">
        <f>AU86+AV86</f>
        <v>0</v>
      </c>
      <c r="BB86" s="77">
        <f>G86/(100-BC86)*100</f>
        <v>0</v>
      </c>
      <c r="BC86" s="77">
        <v>0</v>
      </c>
      <c r="BD86" s="77">
        <f>L86</f>
        <v>1.58684</v>
      </c>
      <c r="BF86" s="77">
        <f>F86*AM86</f>
        <v>0</v>
      </c>
      <c r="BG86" s="77">
        <f>F86*AN86</f>
        <v>0</v>
      </c>
      <c r="BH86" s="77">
        <f>F86*G86</f>
        <v>0</v>
      </c>
      <c r="BI86" s="77"/>
      <c r="BJ86" s="77">
        <v>89</v>
      </c>
      <c r="BU86" s="77" t="e">
        <f>#REF!</f>
        <v>#REF!</v>
      </c>
      <c r="BV86" s="70" t="s">
        <v>941</v>
      </c>
    </row>
    <row r="87" spans="1:74" ht="67.5" customHeight="1" x14ac:dyDescent="0.25">
      <c r="A87" s="80"/>
      <c r="B87" s="81" t="s">
        <v>138</v>
      </c>
      <c r="C87" s="303" t="s">
        <v>942</v>
      </c>
      <c r="D87" s="304"/>
      <c r="E87" s="304"/>
      <c r="F87" s="304"/>
      <c r="G87" s="304"/>
      <c r="H87" s="304"/>
      <c r="I87" s="304"/>
      <c r="J87" s="304"/>
      <c r="K87" s="304"/>
      <c r="L87" s="304"/>
      <c r="M87" s="354"/>
    </row>
    <row r="88" spans="1:74" x14ac:dyDescent="0.25">
      <c r="A88" s="73" t="s">
        <v>129</v>
      </c>
      <c r="B88" s="74" t="s">
        <v>378</v>
      </c>
      <c r="C88" s="314" t="s">
        <v>379</v>
      </c>
      <c r="D88" s="315"/>
      <c r="E88" s="75" t="s">
        <v>87</v>
      </c>
      <c r="F88" s="75" t="s">
        <v>87</v>
      </c>
      <c r="G88" s="75" t="s">
        <v>87</v>
      </c>
      <c r="H88" s="67">
        <f>SUM(H89:H89)</f>
        <v>0</v>
      </c>
      <c r="I88" s="67">
        <f>SUM(I89:I89)</f>
        <v>0</v>
      </c>
      <c r="J88" s="67">
        <f>SUM(J89:J89)</f>
        <v>0</v>
      </c>
      <c r="K88" s="71" t="s">
        <v>129</v>
      </c>
      <c r="L88" s="67">
        <f>SUM(L89:L89)</f>
        <v>0</v>
      </c>
      <c r="M88" s="76" t="s">
        <v>129</v>
      </c>
      <c r="AG88" s="71" t="s">
        <v>129</v>
      </c>
      <c r="AQ88" s="67">
        <f>SUM(AH89:AH89)</f>
        <v>0</v>
      </c>
      <c r="AR88" s="67">
        <f>SUM(AI89:AI89)</f>
        <v>0</v>
      </c>
      <c r="AS88" s="67">
        <f>SUM(AJ89:AJ89)</f>
        <v>0</v>
      </c>
    </row>
    <row r="89" spans="1:74" ht="25.5" x14ac:dyDescent="0.25">
      <c r="A89" s="68" t="s">
        <v>290</v>
      </c>
      <c r="B89" s="69" t="s">
        <v>381</v>
      </c>
      <c r="C89" s="306" t="s">
        <v>382</v>
      </c>
      <c r="D89" s="307"/>
      <c r="E89" s="69" t="s">
        <v>281</v>
      </c>
      <c r="F89" s="77">
        <v>13.55</v>
      </c>
      <c r="G89" s="218">
        <v>0</v>
      </c>
      <c r="H89" s="77">
        <f>F89*AM89</f>
        <v>0</v>
      </c>
      <c r="I89" s="77">
        <f>F89*AN89</f>
        <v>0</v>
      </c>
      <c r="J89" s="77">
        <f>F89*G89</f>
        <v>0</v>
      </c>
      <c r="K89" s="77">
        <v>0</v>
      </c>
      <c r="L89" s="77">
        <f>F89*K89</f>
        <v>0</v>
      </c>
      <c r="M89" s="78" t="s">
        <v>35</v>
      </c>
      <c r="X89" s="77">
        <f>IF(AO89="5",BH89,0)</f>
        <v>0</v>
      </c>
      <c r="Z89" s="77">
        <f>IF(AO89="1",BF89,0)</f>
        <v>0</v>
      </c>
      <c r="AA89" s="77">
        <f>IF(AO89="1",BG89,0)</f>
        <v>0</v>
      </c>
      <c r="AB89" s="77">
        <f>IF(AO89="7",BF89,0)</f>
        <v>0</v>
      </c>
      <c r="AC89" s="77">
        <f>IF(AO89="7",BG89,0)</f>
        <v>0</v>
      </c>
      <c r="AD89" s="77">
        <f>IF(AO89="2",BF89,0)</f>
        <v>0</v>
      </c>
      <c r="AE89" s="77">
        <f>IF(AO89="2",BG89,0)</f>
        <v>0</v>
      </c>
      <c r="AF89" s="77">
        <f>IF(AO89="0",BH89,0)</f>
        <v>0</v>
      </c>
      <c r="AG89" s="71" t="s">
        <v>129</v>
      </c>
      <c r="AH89" s="77">
        <f>IF(AL89=0,J89,0)</f>
        <v>0</v>
      </c>
      <c r="AI89" s="77">
        <f>IF(AL89=15,J89,0)</f>
        <v>0</v>
      </c>
      <c r="AJ89" s="77">
        <f>IF(AL89=21,J89,0)</f>
        <v>0</v>
      </c>
      <c r="AL89" s="77">
        <v>15</v>
      </c>
      <c r="AM89" s="77">
        <f>G89*0</f>
        <v>0</v>
      </c>
      <c r="AN89" s="77">
        <f>G89*(1-0)</f>
        <v>0</v>
      </c>
      <c r="AO89" s="79" t="s">
        <v>132</v>
      </c>
      <c r="AT89" s="77">
        <f>AU89+AV89</f>
        <v>0</v>
      </c>
      <c r="AU89" s="77">
        <f>F89*AM89</f>
        <v>0</v>
      </c>
      <c r="AV89" s="77">
        <f>F89*AN89</f>
        <v>0</v>
      </c>
      <c r="AW89" s="79" t="s">
        <v>383</v>
      </c>
      <c r="AX89" s="79" t="s">
        <v>384</v>
      </c>
      <c r="AY89" s="71" t="s">
        <v>137</v>
      </c>
      <c r="BA89" s="77">
        <f>AU89+AV89</f>
        <v>0</v>
      </c>
      <c r="BB89" s="77">
        <f>G89/(100-BC89)*100</f>
        <v>0</v>
      </c>
      <c r="BC89" s="77">
        <v>0</v>
      </c>
      <c r="BD89" s="77">
        <f>L89</f>
        <v>0</v>
      </c>
      <c r="BF89" s="77">
        <f>F89*AM89</f>
        <v>0</v>
      </c>
      <c r="BG89" s="77">
        <f>F89*AN89</f>
        <v>0</v>
      </c>
      <c r="BH89" s="77">
        <f>F89*G89</f>
        <v>0</v>
      </c>
      <c r="BI89" s="77"/>
      <c r="BJ89" s="77">
        <v>97</v>
      </c>
      <c r="BU89" s="77" t="e">
        <f>#REF!</f>
        <v>#REF!</v>
      </c>
      <c r="BV89" s="70" t="s">
        <v>382</v>
      </c>
    </row>
    <row r="90" spans="1:74" ht="27" customHeight="1" x14ac:dyDescent="0.25">
      <c r="A90" s="80"/>
      <c r="B90" s="81" t="s">
        <v>138</v>
      </c>
      <c r="C90" s="303" t="s">
        <v>943</v>
      </c>
      <c r="D90" s="304"/>
      <c r="E90" s="304"/>
      <c r="F90" s="304"/>
      <c r="G90" s="304"/>
      <c r="H90" s="304"/>
      <c r="I90" s="304"/>
      <c r="J90" s="304"/>
      <c r="K90" s="304"/>
      <c r="L90" s="304"/>
      <c r="M90" s="354"/>
    </row>
    <row r="91" spans="1:74" x14ac:dyDescent="0.25">
      <c r="A91" s="73" t="s">
        <v>129</v>
      </c>
      <c r="B91" s="74" t="s">
        <v>386</v>
      </c>
      <c r="C91" s="314" t="s">
        <v>387</v>
      </c>
      <c r="D91" s="315"/>
      <c r="E91" s="75" t="s">
        <v>87</v>
      </c>
      <c r="F91" s="75" t="s">
        <v>87</v>
      </c>
      <c r="G91" s="75" t="s">
        <v>87</v>
      </c>
      <c r="H91" s="67">
        <f>SUM(H92:H95)</f>
        <v>0</v>
      </c>
      <c r="I91" s="67">
        <f>SUM(I92:I95)</f>
        <v>0</v>
      </c>
      <c r="J91" s="67">
        <f>SUM(J92:J95)</f>
        <v>0</v>
      </c>
      <c r="K91" s="71" t="s">
        <v>129</v>
      </c>
      <c r="L91" s="67">
        <f>SUM(L92:L95)</f>
        <v>0</v>
      </c>
      <c r="M91" s="76" t="s">
        <v>129</v>
      </c>
      <c r="AG91" s="71" t="s">
        <v>129</v>
      </c>
      <c r="AQ91" s="67">
        <f>SUM(AH92:AH95)</f>
        <v>0</v>
      </c>
      <c r="AR91" s="67">
        <f>SUM(AI92:AI95)</f>
        <v>0</v>
      </c>
      <c r="AS91" s="67">
        <f>SUM(AJ92:AJ95)</f>
        <v>0</v>
      </c>
    </row>
    <row r="92" spans="1:74" ht="25.5" x14ac:dyDescent="0.25">
      <c r="A92" s="68" t="s">
        <v>298</v>
      </c>
      <c r="B92" s="69" t="s">
        <v>389</v>
      </c>
      <c r="C92" s="306" t="s">
        <v>390</v>
      </c>
      <c r="D92" s="307"/>
      <c r="E92" s="69" t="s">
        <v>281</v>
      </c>
      <c r="F92" s="77">
        <v>18.07</v>
      </c>
      <c r="G92" s="218">
        <v>0</v>
      </c>
      <c r="H92" s="77">
        <f>F92*AM92</f>
        <v>0</v>
      </c>
      <c r="I92" s="77">
        <f>F92*AN92</f>
        <v>0</v>
      </c>
      <c r="J92" s="77">
        <f>F92*G92</f>
        <v>0</v>
      </c>
      <c r="K92" s="77">
        <v>0</v>
      </c>
      <c r="L92" s="77">
        <f>F92*K92</f>
        <v>0</v>
      </c>
      <c r="M92" s="78" t="s">
        <v>35</v>
      </c>
      <c r="X92" s="77">
        <f>IF(AO92="5",BH92,0)</f>
        <v>0</v>
      </c>
      <c r="Z92" s="77">
        <f>IF(AO92="1",BF92,0)</f>
        <v>0</v>
      </c>
      <c r="AA92" s="77">
        <f>IF(AO92="1",BG92,0)</f>
        <v>0</v>
      </c>
      <c r="AB92" s="77">
        <f>IF(AO92="7",BF92,0)</f>
        <v>0</v>
      </c>
      <c r="AC92" s="77">
        <f>IF(AO92="7",BG92,0)</f>
        <v>0</v>
      </c>
      <c r="AD92" s="77">
        <f>IF(AO92="2",BF92,0)</f>
        <v>0</v>
      </c>
      <c r="AE92" s="77">
        <f>IF(AO92="2",BG92,0)</f>
        <v>0</v>
      </c>
      <c r="AF92" s="77">
        <f>IF(AO92="0",BH92,0)</f>
        <v>0</v>
      </c>
      <c r="AG92" s="71" t="s">
        <v>129</v>
      </c>
      <c r="AH92" s="77">
        <f>IF(AL92=0,J92,0)</f>
        <v>0</v>
      </c>
      <c r="AI92" s="77">
        <f>IF(AL92=15,J92,0)</f>
        <v>0</v>
      </c>
      <c r="AJ92" s="77">
        <f>IF(AL92=21,J92,0)</f>
        <v>0</v>
      </c>
      <c r="AL92" s="77">
        <v>15</v>
      </c>
      <c r="AM92" s="77">
        <f>G92*0</f>
        <v>0</v>
      </c>
      <c r="AN92" s="77">
        <f>G92*(1-0)</f>
        <v>0</v>
      </c>
      <c r="AO92" s="79" t="s">
        <v>158</v>
      </c>
      <c r="AT92" s="77">
        <f>AU92+AV92</f>
        <v>0</v>
      </c>
      <c r="AU92" s="77">
        <f>F92*AM92</f>
        <v>0</v>
      </c>
      <c r="AV92" s="77">
        <f>F92*AN92</f>
        <v>0</v>
      </c>
      <c r="AW92" s="79" t="s">
        <v>391</v>
      </c>
      <c r="AX92" s="79" t="s">
        <v>384</v>
      </c>
      <c r="AY92" s="71" t="s">
        <v>137</v>
      </c>
      <c r="BA92" s="77">
        <f>AU92+AV92</f>
        <v>0</v>
      </c>
      <c r="BB92" s="77">
        <f>G92/(100-BC92)*100</f>
        <v>0</v>
      </c>
      <c r="BC92" s="77">
        <v>0</v>
      </c>
      <c r="BD92" s="77">
        <f>L92</f>
        <v>0</v>
      </c>
      <c r="BF92" s="77">
        <f>F92*AM92</f>
        <v>0</v>
      </c>
      <c r="BG92" s="77">
        <f>F92*AN92</f>
        <v>0</v>
      </c>
      <c r="BH92" s="77">
        <f>F92*G92</f>
        <v>0</v>
      </c>
      <c r="BI92" s="77"/>
      <c r="BJ92" s="77"/>
      <c r="BU92" s="77" t="e">
        <f>#REF!</f>
        <v>#REF!</v>
      </c>
      <c r="BV92" s="70" t="s">
        <v>390</v>
      </c>
    </row>
    <row r="93" spans="1:74" x14ac:dyDescent="0.25">
      <c r="A93" s="68" t="s">
        <v>304</v>
      </c>
      <c r="B93" s="69" t="s">
        <v>393</v>
      </c>
      <c r="C93" s="306" t="s">
        <v>394</v>
      </c>
      <c r="D93" s="307"/>
      <c r="E93" s="69" t="s">
        <v>281</v>
      </c>
      <c r="F93" s="77">
        <v>67.760000000000005</v>
      </c>
      <c r="G93" s="218">
        <v>0</v>
      </c>
      <c r="H93" s="77">
        <f>F93*AM93</f>
        <v>0</v>
      </c>
      <c r="I93" s="77">
        <f>F93*AN93</f>
        <v>0</v>
      </c>
      <c r="J93" s="77">
        <f>F93*G93</f>
        <v>0</v>
      </c>
      <c r="K93" s="77">
        <v>0</v>
      </c>
      <c r="L93" s="77">
        <f>F93*K93</f>
        <v>0</v>
      </c>
      <c r="M93" s="78" t="s">
        <v>35</v>
      </c>
      <c r="X93" s="77">
        <f>IF(AO93="5",BH93,0)</f>
        <v>0</v>
      </c>
      <c r="Z93" s="77">
        <f>IF(AO93="1",BF93,0)</f>
        <v>0</v>
      </c>
      <c r="AA93" s="77">
        <f>IF(AO93="1",BG93,0)</f>
        <v>0</v>
      </c>
      <c r="AB93" s="77">
        <f>IF(AO93="7",BF93,0)</f>
        <v>0</v>
      </c>
      <c r="AC93" s="77">
        <f>IF(AO93="7",BG93,0)</f>
        <v>0</v>
      </c>
      <c r="AD93" s="77">
        <f>IF(AO93="2",BF93,0)</f>
        <v>0</v>
      </c>
      <c r="AE93" s="77">
        <f>IF(AO93="2",BG93,0)</f>
        <v>0</v>
      </c>
      <c r="AF93" s="77">
        <f>IF(AO93="0",BH93,0)</f>
        <v>0</v>
      </c>
      <c r="AG93" s="71" t="s">
        <v>129</v>
      </c>
      <c r="AH93" s="77">
        <f>IF(AL93=0,J93,0)</f>
        <v>0</v>
      </c>
      <c r="AI93" s="77">
        <f>IF(AL93=15,J93,0)</f>
        <v>0</v>
      </c>
      <c r="AJ93" s="77">
        <f>IF(AL93=21,J93,0)</f>
        <v>0</v>
      </c>
      <c r="AL93" s="77">
        <v>15</v>
      </c>
      <c r="AM93" s="77">
        <f>G93*0</f>
        <v>0</v>
      </c>
      <c r="AN93" s="77">
        <f>G93*(1-0)</f>
        <v>0</v>
      </c>
      <c r="AO93" s="79" t="s">
        <v>158</v>
      </c>
      <c r="AT93" s="77">
        <f>AU93+AV93</f>
        <v>0</v>
      </c>
      <c r="AU93" s="77">
        <f>F93*AM93</f>
        <v>0</v>
      </c>
      <c r="AV93" s="77">
        <f>F93*AN93</f>
        <v>0</v>
      </c>
      <c r="AW93" s="79" t="s">
        <v>391</v>
      </c>
      <c r="AX93" s="79" t="s">
        <v>384</v>
      </c>
      <c r="AY93" s="71" t="s">
        <v>137</v>
      </c>
      <c r="BA93" s="77">
        <f>AU93+AV93</f>
        <v>0</v>
      </c>
      <c r="BB93" s="77">
        <f>G93/(100-BC93)*100</f>
        <v>0</v>
      </c>
      <c r="BC93" s="77">
        <v>0</v>
      </c>
      <c r="BD93" s="77">
        <f>L93</f>
        <v>0</v>
      </c>
      <c r="BF93" s="77">
        <f>F93*AM93</f>
        <v>0</v>
      </c>
      <c r="BG93" s="77">
        <f>F93*AN93</f>
        <v>0</v>
      </c>
      <c r="BH93" s="77">
        <f>F93*G93</f>
        <v>0</v>
      </c>
      <c r="BI93" s="77"/>
      <c r="BJ93" s="77"/>
      <c r="BU93" s="77" t="e">
        <f>#REF!</f>
        <v>#REF!</v>
      </c>
      <c r="BV93" s="70" t="s">
        <v>394</v>
      </c>
    </row>
    <row r="94" spans="1:74" ht="40.5" customHeight="1" x14ac:dyDescent="0.25">
      <c r="A94" s="80"/>
      <c r="B94" s="81" t="s">
        <v>138</v>
      </c>
      <c r="C94" s="303" t="s">
        <v>944</v>
      </c>
      <c r="D94" s="304"/>
      <c r="E94" s="304"/>
      <c r="F94" s="304"/>
      <c r="G94" s="304"/>
      <c r="H94" s="304"/>
      <c r="I94" s="304"/>
      <c r="J94" s="304"/>
      <c r="K94" s="304"/>
      <c r="L94" s="304"/>
      <c r="M94" s="354"/>
    </row>
    <row r="95" spans="1:74" x14ac:dyDescent="0.25">
      <c r="A95" s="68" t="s">
        <v>308</v>
      </c>
      <c r="B95" s="69" t="s">
        <v>798</v>
      </c>
      <c r="C95" s="306" t="s">
        <v>799</v>
      </c>
      <c r="D95" s="307"/>
      <c r="E95" s="69" t="s">
        <v>281</v>
      </c>
      <c r="F95" s="77">
        <v>22.59</v>
      </c>
      <c r="G95" s="218">
        <v>0</v>
      </c>
      <c r="H95" s="77">
        <f>F95*AM95</f>
        <v>0</v>
      </c>
      <c r="I95" s="77">
        <f>F95*AN95</f>
        <v>0</v>
      </c>
      <c r="J95" s="77">
        <f>F95*G95</f>
        <v>0</v>
      </c>
      <c r="K95" s="77">
        <v>0</v>
      </c>
      <c r="L95" s="77">
        <f>F95*K95</f>
        <v>0</v>
      </c>
      <c r="M95" s="78" t="s">
        <v>35</v>
      </c>
      <c r="X95" s="77">
        <f>IF(AO95="5",BH95,0)</f>
        <v>0</v>
      </c>
      <c r="Z95" s="77">
        <f>IF(AO95="1",BF95,0)</f>
        <v>0</v>
      </c>
      <c r="AA95" s="77">
        <f>IF(AO95="1",BG95,0)</f>
        <v>0</v>
      </c>
      <c r="AB95" s="77">
        <f>IF(AO95="7",BF95,0)</f>
        <v>0</v>
      </c>
      <c r="AC95" s="77">
        <f>IF(AO95="7",BG95,0)</f>
        <v>0</v>
      </c>
      <c r="AD95" s="77">
        <f>IF(AO95="2",BF95,0)</f>
        <v>0</v>
      </c>
      <c r="AE95" s="77">
        <f>IF(AO95="2",BG95,0)</f>
        <v>0</v>
      </c>
      <c r="AF95" s="77">
        <f>IF(AO95="0",BH95,0)</f>
        <v>0</v>
      </c>
      <c r="AG95" s="71" t="s">
        <v>129</v>
      </c>
      <c r="AH95" s="77">
        <f>IF(AL95=0,J95,0)</f>
        <v>0</v>
      </c>
      <c r="AI95" s="77">
        <f>IF(AL95=15,J95,0)</f>
        <v>0</v>
      </c>
      <c r="AJ95" s="77">
        <f>IF(AL95=21,J95,0)</f>
        <v>0</v>
      </c>
      <c r="AL95" s="77">
        <v>15</v>
      </c>
      <c r="AM95" s="77">
        <f>G95*0</f>
        <v>0</v>
      </c>
      <c r="AN95" s="77">
        <f>G95*(1-0)</f>
        <v>0</v>
      </c>
      <c r="AO95" s="79" t="s">
        <v>158</v>
      </c>
      <c r="AT95" s="77">
        <f>AU95+AV95</f>
        <v>0</v>
      </c>
      <c r="AU95" s="77">
        <f>F95*AM95</f>
        <v>0</v>
      </c>
      <c r="AV95" s="77">
        <f>F95*AN95</f>
        <v>0</v>
      </c>
      <c r="AW95" s="79" t="s">
        <v>391</v>
      </c>
      <c r="AX95" s="79" t="s">
        <v>384</v>
      </c>
      <c r="AY95" s="71" t="s">
        <v>137</v>
      </c>
      <c r="BA95" s="77">
        <f>AU95+AV95</f>
        <v>0</v>
      </c>
      <c r="BB95" s="77">
        <f>G95/(100-BC95)*100</f>
        <v>0</v>
      </c>
      <c r="BC95" s="77">
        <v>0</v>
      </c>
      <c r="BD95" s="77">
        <f>L95</f>
        <v>0</v>
      </c>
      <c r="BF95" s="77">
        <f>F95*AM95</f>
        <v>0</v>
      </c>
      <c r="BG95" s="77">
        <f>F95*AN95</f>
        <v>0</v>
      </c>
      <c r="BH95" s="77">
        <f>F95*G95</f>
        <v>0</v>
      </c>
      <c r="BI95" s="77"/>
      <c r="BJ95" s="77"/>
      <c r="BU95" s="77" t="e">
        <f>#REF!</f>
        <v>#REF!</v>
      </c>
      <c r="BV95" s="70" t="s">
        <v>799</v>
      </c>
    </row>
    <row r="96" spans="1:74" ht="40.5" customHeight="1" x14ac:dyDescent="0.25">
      <c r="A96" s="80"/>
      <c r="B96" s="81" t="s">
        <v>138</v>
      </c>
      <c r="C96" s="303" t="s">
        <v>945</v>
      </c>
      <c r="D96" s="304"/>
      <c r="E96" s="304"/>
      <c r="F96" s="304"/>
      <c r="G96" s="304"/>
      <c r="H96" s="304"/>
      <c r="I96" s="304"/>
      <c r="J96" s="304"/>
      <c r="K96" s="304"/>
      <c r="L96" s="304"/>
      <c r="M96" s="354"/>
    </row>
    <row r="97" spans="1:74" x14ac:dyDescent="0.25">
      <c r="A97" s="73" t="s">
        <v>129</v>
      </c>
      <c r="B97" s="74" t="s">
        <v>401</v>
      </c>
      <c r="C97" s="314" t="s">
        <v>402</v>
      </c>
      <c r="D97" s="315"/>
      <c r="E97" s="75" t="s">
        <v>87</v>
      </c>
      <c r="F97" s="75" t="s">
        <v>87</v>
      </c>
      <c r="G97" s="75" t="s">
        <v>87</v>
      </c>
      <c r="H97" s="67">
        <f>SUM(H98:H100)</f>
        <v>0</v>
      </c>
      <c r="I97" s="67">
        <f>SUM(I98:I100)</f>
        <v>0</v>
      </c>
      <c r="J97" s="67">
        <f>SUM(J98:J100)</f>
        <v>0</v>
      </c>
      <c r="K97" s="71" t="s">
        <v>129</v>
      </c>
      <c r="L97" s="67">
        <f>SUM(L98:L100)</f>
        <v>0</v>
      </c>
      <c r="M97" s="76" t="s">
        <v>129</v>
      </c>
      <c r="AG97" s="71" t="s">
        <v>129</v>
      </c>
      <c r="AQ97" s="67">
        <f>SUM(AH98:AH100)</f>
        <v>0</v>
      </c>
      <c r="AR97" s="67">
        <f>SUM(AI98:AI100)</f>
        <v>0</v>
      </c>
      <c r="AS97" s="67">
        <f>SUM(AJ98:AJ100)</f>
        <v>0</v>
      </c>
    </row>
    <row r="98" spans="1:74" x14ac:dyDescent="0.25">
      <c r="A98" s="68" t="s">
        <v>310</v>
      </c>
      <c r="B98" s="69" t="s">
        <v>404</v>
      </c>
      <c r="C98" s="306" t="s">
        <v>405</v>
      </c>
      <c r="D98" s="307"/>
      <c r="E98" s="69" t="s">
        <v>281</v>
      </c>
      <c r="F98" s="77">
        <v>6.49</v>
      </c>
      <c r="G98" s="218">
        <v>0</v>
      </c>
      <c r="H98" s="77">
        <f>F98*AM98</f>
        <v>0</v>
      </c>
      <c r="I98" s="77">
        <f>F98*AN98</f>
        <v>0</v>
      </c>
      <c r="J98" s="77">
        <f>F98*G98</f>
        <v>0</v>
      </c>
      <c r="K98" s="77">
        <v>0</v>
      </c>
      <c r="L98" s="77">
        <f>F98*K98</f>
        <v>0</v>
      </c>
      <c r="M98" s="78" t="s">
        <v>35</v>
      </c>
      <c r="X98" s="77">
        <f>IF(AO98="5",BH98,0)</f>
        <v>0</v>
      </c>
      <c r="Z98" s="77">
        <f>IF(AO98="1",BF98,0)</f>
        <v>0</v>
      </c>
      <c r="AA98" s="77">
        <f>IF(AO98="1",BG98,0)</f>
        <v>0</v>
      </c>
      <c r="AB98" s="77">
        <f>IF(AO98="7",BF98,0)</f>
        <v>0</v>
      </c>
      <c r="AC98" s="77">
        <f>IF(AO98="7",BG98,0)</f>
        <v>0</v>
      </c>
      <c r="AD98" s="77">
        <f>IF(AO98="2",BF98,0)</f>
        <v>0</v>
      </c>
      <c r="AE98" s="77">
        <f>IF(AO98="2",BG98,0)</f>
        <v>0</v>
      </c>
      <c r="AF98" s="77">
        <f>IF(AO98="0",BH98,0)</f>
        <v>0</v>
      </c>
      <c r="AG98" s="71" t="s">
        <v>129</v>
      </c>
      <c r="AH98" s="77">
        <f>IF(AL98=0,J98,0)</f>
        <v>0</v>
      </c>
      <c r="AI98" s="77">
        <f>IF(AL98=15,J98,0)</f>
        <v>0</v>
      </c>
      <c r="AJ98" s="77">
        <f>IF(AL98=21,J98,0)</f>
        <v>0</v>
      </c>
      <c r="AL98" s="77">
        <v>15</v>
      </c>
      <c r="AM98" s="77">
        <f>G98*0</f>
        <v>0</v>
      </c>
      <c r="AN98" s="77">
        <f>G98*(1-0)</f>
        <v>0</v>
      </c>
      <c r="AO98" s="79" t="s">
        <v>158</v>
      </c>
      <c r="AT98" s="77">
        <f>AU98+AV98</f>
        <v>0</v>
      </c>
      <c r="AU98" s="77">
        <f>F98*AM98</f>
        <v>0</v>
      </c>
      <c r="AV98" s="77">
        <f>F98*AN98</f>
        <v>0</v>
      </c>
      <c r="AW98" s="79" t="s">
        <v>406</v>
      </c>
      <c r="AX98" s="79" t="s">
        <v>384</v>
      </c>
      <c r="AY98" s="71" t="s">
        <v>137</v>
      </c>
      <c r="BA98" s="77">
        <f>AU98+AV98</f>
        <v>0</v>
      </c>
      <c r="BB98" s="77">
        <f>G98/(100-BC98)*100</f>
        <v>0</v>
      </c>
      <c r="BC98" s="77">
        <v>0</v>
      </c>
      <c r="BD98" s="77">
        <f>L98</f>
        <v>0</v>
      </c>
      <c r="BF98" s="77">
        <f>F98*AM98</f>
        <v>0</v>
      </c>
      <c r="BG98" s="77">
        <f>F98*AN98</f>
        <v>0</v>
      </c>
      <c r="BH98" s="77">
        <f>F98*G98</f>
        <v>0</v>
      </c>
      <c r="BI98" s="77"/>
      <c r="BJ98" s="77"/>
      <c r="BU98" s="77" t="e">
        <f>#REF!</f>
        <v>#REF!</v>
      </c>
      <c r="BV98" s="70" t="s">
        <v>405</v>
      </c>
    </row>
    <row r="99" spans="1:74" x14ac:dyDescent="0.25">
      <c r="A99" s="68" t="s">
        <v>316</v>
      </c>
      <c r="B99" s="69" t="s">
        <v>408</v>
      </c>
      <c r="C99" s="306" t="s">
        <v>409</v>
      </c>
      <c r="D99" s="307"/>
      <c r="E99" s="69" t="s">
        <v>281</v>
      </c>
      <c r="F99" s="77">
        <v>15.29</v>
      </c>
      <c r="G99" s="218">
        <v>0</v>
      </c>
      <c r="H99" s="77">
        <f>F99*AM99</f>
        <v>0</v>
      </c>
      <c r="I99" s="77">
        <f>F99*AN99</f>
        <v>0</v>
      </c>
      <c r="J99" s="77">
        <f>F99*G99</f>
        <v>0</v>
      </c>
      <c r="K99" s="77">
        <v>0</v>
      </c>
      <c r="L99" s="77">
        <f>F99*K99</f>
        <v>0</v>
      </c>
      <c r="M99" s="78" t="s">
        <v>35</v>
      </c>
      <c r="X99" s="77">
        <f>IF(AO99="5",BH99,0)</f>
        <v>0</v>
      </c>
      <c r="Z99" s="77">
        <f>IF(AO99="1",BF99,0)</f>
        <v>0</v>
      </c>
      <c r="AA99" s="77">
        <f>IF(AO99="1",BG99,0)</f>
        <v>0</v>
      </c>
      <c r="AB99" s="77">
        <f>IF(AO99="7",BF99,0)</f>
        <v>0</v>
      </c>
      <c r="AC99" s="77">
        <f>IF(AO99="7",BG99,0)</f>
        <v>0</v>
      </c>
      <c r="AD99" s="77">
        <f>IF(AO99="2",BF99,0)</f>
        <v>0</v>
      </c>
      <c r="AE99" s="77">
        <f>IF(AO99="2",BG99,0)</f>
        <v>0</v>
      </c>
      <c r="AF99" s="77">
        <f>IF(AO99="0",BH99,0)</f>
        <v>0</v>
      </c>
      <c r="AG99" s="71" t="s">
        <v>129</v>
      </c>
      <c r="AH99" s="77">
        <f>IF(AL99=0,J99,0)</f>
        <v>0</v>
      </c>
      <c r="AI99" s="77">
        <f>IF(AL99=15,J99,0)</f>
        <v>0</v>
      </c>
      <c r="AJ99" s="77">
        <f>IF(AL99=21,J99,0)</f>
        <v>0</v>
      </c>
      <c r="AL99" s="77">
        <v>15</v>
      </c>
      <c r="AM99" s="77">
        <f>G99*0</f>
        <v>0</v>
      </c>
      <c r="AN99" s="77">
        <f>G99*(1-0)</f>
        <v>0</v>
      </c>
      <c r="AO99" s="79" t="s">
        <v>158</v>
      </c>
      <c r="AT99" s="77">
        <f>AU99+AV99</f>
        <v>0</v>
      </c>
      <c r="AU99" s="77">
        <f>F99*AM99</f>
        <v>0</v>
      </c>
      <c r="AV99" s="77">
        <f>F99*AN99</f>
        <v>0</v>
      </c>
      <c r="AW99" s="79" t="s">
        <v>406</v>
      </c>
      <c r="AX99" s="79" t="s">
        <v>384</v>
      </c>
      <c r="AY99" s="71" t="s">
        <v>137</v>
      </c>
      <c r="BA99" s="77">
        <f>AU99+AV99</f>
        <v>0</v>
      </c>
      <c r="BB99" s="77">
        <f>G99/(100-BC99)*100</f>
        <v>0</v>
      </c>
      <c r="BC99" s="77">
        <v>0</v>
      </c>
      <c r="BD99" s="77">
        <f>L99</f>
        <v>0</v>
      </c>
      <c r="BF99" s="77">
        <f>F99*AM99</f>
        <v>0</v>
      </c>
      <c r="BG99" s="77">
        <f>F99*AN99</f>
        <v>0</v>
      </c>
      <c r="BH99" s="77">
        <f>F99*G99</f>
        <v>0</v>
      </c>
      <c r="BI99" s="77"/>
      <c r="BJ99" s="77"/>
      <c r="BU99" s="77" t="e">
        <f>#REF!</f>
        <v>#REF!</v>
      </c>
      <c r="BV99" s="70" t="s">
        <v>409</v>
      </c>
    </row>
    <row r="100" spans="1:74" x14ac:dyDescent="0.25">
      <c r="A100" s="68" t="s">
        <v>322</v>
      </c>
      <c r="B100" s="69" t="s">
        <v>411</v>
      </c>
      <c r="C100" s="306" t="s">
        <v>412</v>
      </c>
      <c r="D100" s="307"/>
      <c r="E100" s="69" t="s">
        <v>281</v>
      </c>
      <c r="F100" s="77">
        <v>0.38</v>
      </c>
      <c r="G100" s="218">
        <v>0</v>
      </c>
      <c r="H100" s="77">
        <f>F100*AM100</f>
        <v>0</v>
      </c>
      <c r="I100" s="77">
        <f>F100*AN100</f>
        <v>0</v>
      </c>
      <c r="J100" s="77">
        <f>F100*G100</f>
        <v>0</v>
      </c>
      <c r="K100" s="77">
        <v>0</v>
      </c>
      <c r="L100" s="77">
        <f>F100*K100</f>
        <v>0</v>
      </c>
      <c r="M100" s="78" t="s">
        <v>35</v>
      </c>
      <c r="X100" s="77">
        <f>IF(AO100="5",BH100,0)</f>
        <v>0</v>
      </c>
      <c r="Z100" s="77">
        <f>IF(AO100="1",BF100,0)</f>
        <v>0</v>
      </c>
      <c r="AA100" s="77">
        <f>IF(AO100="1",BG100,0)</f>
        <v>0</v>
      </c>
      <c r="AB100" s="77">
        <f>IF(AO100="7",BF100,0)</f>
        <v>0</v>
      </c>
      <c r="AC100" s="77">
        <f>IF(AO100="7",BG100,0)</f>
        <v>0</v>
      </c>
      <c r="AD100" s="77">
        <f>IF(AO100="2",BF100,0)</f>
        <v>0</v>
      </c>
      <c r="AE100" s="77">
        <f>IF(AO100="2",BG100,0)</f>
        <v>0</v>
      </c>
      <c r="AF100" s="77">
        <f>IF(AO100="0",BH100,0)</f>
        <v>0</v>
      </c>
      <c r="AG100" s="71" t="s">
        <v>129</v>
      </c>
      <c r="AH100" s="77">
        <f>IF(AL100=0,J100,0)</f>
        <v>0</v>
      </c>
      <c r="AI100" s="77">
        <f>IF(AL100=15,J100,0)</f>
        <v>0</v>
      </c>
      <c r="AJ100" s="77">
        <f>IF(AL100=21,J100,0)</f>
        <v>0</v>
      </c>
      <c r="AL100" s="77">
        <v>15</v>
      </c>
      <c r="AM100" s="77">
        <f>G100*0</f>
        <v>0</v>
      </c>
      <c r="AN100" s="77">
        <f>G100*(1-0)</f>
        <v>0</v>
      </c>
      <c r="AO100" s="79" t="s">
        <v>158</v>
      </c>
      <c r="AT100" s="77">
        <f>AU100+AV100</f>
        <v>0</v>
      </c>
      <c r="AU100" s="77">
        <f>F100*AM100</f>
        <v>0</v>
      </c>
      <c r="AV100" s="77">
        <f>F100*AN100</f>
        <v>0</v>
      </c>
      <c r="AW100" s="79" t="s">
        <v>406</v>
      </c>
      <c r="AX100" s="79" t="s">
        <v>384</v>
      </c>
      <c r="AY100" s="71" t="s">
        <v>137</v>
      </c>
      <c r="BA100" s="77">
        <f>AU100+AV100</f>
        <v>0</v>
      </c>
      <c r="BB100" s="77">
        <f>G100/(100-BC100)*100</f>
        <v>0</v>
      </c>
      <c r="BC100" s="77">
        <v>0</v>
      </c>
      <c r="BD100" s="77">
        <f>L100</f>
        <v>0</v>
      </c>
      <c r="BF100" s="77">
        <f>F100*AM100</f>
        <v>0</v>
      </c>
      <c r="BG100" s="77">
        <f>F100*AN100</f>
        <v>0</v>
      </c>
      <c r="BH100" s="77">
        <f>F100*G100</f>
        <v>0</v>
      </c>
      <c r="BI100" s="77"/>
      <c r="BJ100" s="77"/>
      <c r="BU100" s="77" t="e">
        <f>#REF!</f>
        <v>#REF!</v>
      </c>
      <c r="BV100" s="70" t="s">
        <v>412</v>
      </c>
    </row>
    <row r="101" spans="1:74" x14ac:dyDescent="0.25">
      <c r="A101" s="73" t="s">
        <v>129</v>
      </c>
      <c r="B101" s="74" t="s">
        <v>946</v>
      </c>
      <c r="C101" s="314" t="s">
        <v>947</v>
      </c>
      <c r="D101" s="315"/>
      <c r="E101" s="75" t="s">
        <v>87</v>
      </c>
      <c r="F101" s="75" t="s">
        <v>87</v>
      </c>
      <c r="G101" s="75" t="s">
        <v>87</v>
      </c>
      <c r="H101" s="67">
        <f>SUM(H102:H102)</f>
        <v>0</v>
      </c>
      <c r="I101" s="67">
        <f>SUM(I102:I102)</f>
        <v>0</v>
      </c>
      <c r="J101" s="67">
        <f>SUM(J102:J102)</f>
        <v>0</v>
      </c>
      <c r="K101" s="71" t="s">
        <v>129</v>
      </c>
      <c r="L101" s="67">
        <f>SUM(L102:L102)</f>
        <v>0</v>
      </c>
      <c r="M101" s="76" t="s">
        <v>129</v>
      </c>
      <c r="AG101" s="71" t="s">
        <v>129</v>
      </c>
      <c r="AQ101" s="67">
        <f>SUM(AH102:AH102)</f>
        <v>0</v>
      </c>
      <c r="AR101" s="67">
        <f>SUM(AI102:AI102)</f>
        <v>0</v>
      </c>
      <c r="AS101" s="67">
        <f>SUM(AJ102:AJ102)</f>
        <v>0</v>
      </c>
    </row>
    <row r="102" spans="1:74" x14ac:dyDescent="0.25">
      <c r="A102" s="68" t="s">
        <v>327</v>
      </c>
      <c r="B102" s="69" t="s">
        <v>948</v>
      </c>
      <c r="C102" s="306" t="s">
        <v>949</v>
      </c>
      <c r="D102" s="307"/>
      <c r="E102" s="69" t="s">
        <v>950</v>
      </c>
      <c r="F102" s="77">
        <v>2</v>
      </c>
      <c r="G102" s="218">
        <v>0</v>
      </c>
      <c r="H102" s="77">
        <f>F102*AM102</f>
        <v>0</v>
      </c>
      <c r="I102" s="77">
        <f>F102*AN102</f>
        <v>0</v>
      </c>
      <c r="J102" s="77">
        <f>F102*G102</f>
        <v>0</v>
      </c>
      <c r="K102" s="77">
        <v>0</v>
      </c>
      <c r="L102" s="77">
        <f>F102*K102</f>
        <v>0</v>
      </c>
      <c r="M102" s="78" t="s">
        <v>35</v>
      </c>
      <c r="X102" s="77">
        <f>IF(AO102="5",BH102,0)</f>
        <v>0</v>
      </c>
      <c r="Z102" s="77">
        <f>IF(AO102="1",BF102,0)</f>
        <v>0</v>
      </c>
      <c r="AA102" s="77">
        <f>IF(AO102="1",BG102,0)</f>
        <v>0</v>
      </c>
      <c r="AB102" s="77">
        <f>IF(AO102="7",BF102,0)</f>
        <v>0</v>
      </c>
      <c r="AC102" s="77">
        <f>IF(AO102="7",BG102,0)</f>
        <v>0</v>
      </c>
      <c r="AD102" s="77">
        <f>IF(AO102="2",BF102,0)</f>
        <v>0</v>
      </c>
      <c r="AE102" s="77">
        <f>IF(AO102="2",BG102,0)</f>
        <v>0</v>
      </c>
      <c r="AF102" s="77">
        <f>IF(AO102="0",BH102,0)</f>
        <v>0</v>
      </c>
      <c r="AG102" s="71" t="s">
        <v>129</v>
      </c>
      <c r="AH102" s="77">
        <f>IF(AL102=0,J102,0)</f>
        <v>0</v>
      </c>
      <c r="AI102" s="77">
        <f>IF(AL102=15,J102,0)</f>
        <v>0</v>
      </c>
      <c r="AJ102" s="77">
        <f>IF(AL102=21,J102,0)</f>
        <v>0</v>
      </c>
      <c r="AL102" s="77">
        <v>15</v>
      </c>
      <c r="AM102" s="77">
        <f>G102*0.838926174</f>
        <v>0</v>
      </c>
      <c r="AN102" s="77">
        <f>G102*(1-0.838926174)</f>
        <v>0</v>
      </c>
      <c r="AO102" s="79" t="s">
        <v>142</v>
      </c>
      <c r="AT102" s="77">
        <f>AU102+AV102</f>
        <v>0</v>
      </c>
      <c r="AU102" s="77">
        <f>F102*AM102</f>
        <v>0</v>
      </c>
      <c r="AV102" s="77">
        <f>F102*AN102</f>
        <v>0</v>
      </c>
      <c r="AW102" s="79" t="s">
        <v>951</v>
      </c>
      <c r="AX102" s="79" t="s">
        <v>384</v>
      </c>
      <c r="AY102" s="71" t="s">
        <v>137</v>
      </c>
      <c r="BA102" s="77">
        <f>AU102+AV102</f>
        <v>0</v>
      </c>
      <c r="BB102" s="77">
        <f>G102/(100-BC102)*100</f>
        <v>0</v>
      </c>
      <c r="BC102" s="77">
        <v>0</v>
      </c>
      <c r="BD102" s="77">
        <f>L102</f>
        <v>0</v>
      </c>
      <c r="BF102" s="77">
        <f>F102*AM102</f>
        <v>0</v>
      </c>
      <c r="BG102" s="77">
        <f>F102*AN102</f>
        <v>0</v>
      </c>
      <c r="BH102" s="77">
        <f>F102*G102</f>
        <v>0</v>
      </c>
      <c r="BI102" s="77"/>
      <c r="BJ102" s="77"/>
      <c r="BU102" s="77" t="e">
        <f>#REF!</f>
        <v>#REF!</v>
      </c>
      <c r="BV102" s="70" t="s">
        <v>949</v>
      </c>
    </row>
    <row r="103" spans="1:74" ht="40.5" customHeight="1" x14ac:dyDescent="0.25">
      <c r="A103" s="82"/>
      <c r="B103" s="83" t="s">
        <v>138</v>
      </c>
      <c r="C103" s="355" t="s">
        <v>952</v>
      </c>
      <c r="D103" s="356"/>
      <c r="E103" s="356"/>
      <c r="F103" s="356"/>
      <c r="G103" s="356"/>
      <c r="H103" s="356"/>
      <c r="I103" s="356"/>
      <c r="J103" s="356"/>
      <c r="K103" s="356"/>
      <c r="L103" s="356"/>
      <c r="M103" s="357"/>
    </row>
    <row r="104" spans="1:74" x14ac:dyDescent="0.25">
      <c r="H104" s="311" t="s">
        <v>475</v>
      </c>
      <c r="I104" s="311"/>
      <c r="J104" s="84">
        <f>ROUND(J12+J21+J34+J39+J52+J59+J64+J67+J70+J73+J82+J85+J88+J91+J97+J101,1)</f>
        <v>0</v>
      </c>
    </row>
    <row r="105" spans="1:74" x14ac:dyDescent="0.25">
      <c r="A105" s="85" t="s">
        <v>138</v>
      </c>
    </row>
    <row r="106" spans="1:74" ht="13.5" customHeight="1" x14ac:dyDescent="0.25">
      <c r="A106" s="306" t="s">
        <v>953</v>
      </c>
      <c r="B106" s="307"/>
      <c r="C106" s="307"/>
      <c r="D106" s="307"/>
      <c r="E106" s="307"/>
      <c r="F106" s="307"/>
      <c r="G106" s="307"/>
      <c r="H106" s="307"/>
      <c r="I106" s="307"/>
      <c r="J106" s="307"/>
      <c r="K106" s="307"/>
      <c r="L106" s="307"/>
      <c r="M106" s="307"/>
    </row>
  </sheetData>
  <sheetProtection algorithmName="SHA-512" hashValue="LFi1eU0dvIe5YtN8mOV7F/LBaw57KpCg8wWWxoVlEmmzT94s5LsSTNFr9vU/0l9kQzIL207TJqjx+Yb0Bz3CHA==" saltValue="GUGCjaSsQ8iS7g9vrg9YJQ==" spinCount="100000" sheet="1" formatCells="0" formatColumns="0" formatRows="0" insertColumns="0" insertRows="0" insertHyperlinks="0"/>
  <mergeCells count="123">
    <mergeCell ref="H104:I104"/>
    <mergeCell ref="A106:M106"/>
    <mergeCell ref="C98:D98"/>
    <mergeCell ref="C99:D99"/>
    <mergeCell ref="C100:D100"/>
    <mergeCell ref="C101:D101"/>
    <mergeCell ref="C102:D102"/>
    <mergeCell ref="C103:M103"/>
    <mergeCell ref="C92:D92"/>
    <mergeCell ref="C93:D93"/>
    <mergeCell ref="C94:M94"/>
    <mergeCell ref="C95:D95"/>
    <mergeCell ref="C96:M96"/>
    <mergeCell ref="C97:D97"/>
    <mergeCell ref="C86:D86"/>
    <mergeCell ref="C87:M87"/>
    <mergeCell ref="C88:D88"/>
    <mergeCell ref="C89:D89"/>
    <mergeCell ref="C90:M90"/>
    <mergeCell ref="C91:D91"/>
    <mergeCell ref="C80:D80"/>
    <mergeCell ref="C81:M81"/>
    <mergeCell ref="C82:D82"/>
    <mergeCell ref="C83:D83"/>
    <mergeCell ref="C84:M84"/>
    <mergeCell ref="C85:D85"/>
    <mergeCell ref="C74:D74"/>
    <mergeCell ref="C75:M75"/>
    <mergeCell ref="C76:D76"/>
    <mergeCell ref="C77:M77"/>
    <mergeCell ref="C78:D78"/>
    <mergeCell ref="C79:M79"/>
    <mergeCell ref="C68:D68"/>
    <mergeCell ref="C69:M69"/>
    <mergeCell ref="C70:D70"/>
    <mergeCell ref="C71:D71"/>
    <mergeCell ref="C72:M72"/>
    <mergeCell ref="C73:D73"/>
    <mergeCell ref="C62:D62"/>
    <mergeCell ref="C63:M63"/>
    <mergeCell ref="C64:D64"/>
    <mergeCell ref="C65:D65"/>
    <mergeCell ref="C66:M66"/>
    <mergeCell ref="C67:D67"/>
    <mergeCell ref="C56:M56"/>
    <mergeCell ref="C57:D57"/>
    <mergeCell ref="C58:M58"/>
    <mergeCell ref="C59:D59"/>
    <mergeCell ref="C60:D60"/>
    <mergeCell ref="C61:M61"/>
    <mergeCell ref="C50:D50"/>
    <mergeCell ref="C51:M51"/>
    <mergeCell ref="C52:D52"/>
    <mergeCell ref="C53:D53"/>
    <mergeCell ref="C54:M54"/>
    <mergeCell ref="C55:D55"/>
    <mergeCell ref="C44:D44"/>
    <mergeCell ref="C45:M45"/>
    <mergeCell ref="C46:D46"/>
    <mergeCell ref="C47:M47"/>
    <mergeCell ref="C48:D48"/>
    <mergeCell ref="C49:M49"/>
    <mergeCell ref="C38:M38"/>
    <mergeCell ref="C39:D39"/>
    <mergeCell ref="C40:D40"/>
    <mergeCell ref="C41:M41"/>
    <mergeCell ref="C42:D42"/>
    <mergeCell ref="C43:M43"/>
    <mergeCell ref="C32:D32"/>
    <mergeCell ref="C33:M33"/>
    <mergeCell ref="C34:D34"/>
    <mergeCell ref="C35:D35"/>
    <mergeCell ref="C36:M36"/>
    <mergeCell ref="C37:D37"/>
    <mergeCell ref="C26:D26"/>
    <mergeCell ref="C27:M27"/>
    <mergeCell ref="C28:D28"/>
    <mergeCell ref="C29:M29"/>
    <mergeCell ref="C30:D30"/>
    <mergeCell ref="C31:M31"/>
    <mergeCell ref="C20:M20"/>
    <mergeCell ref="C21:D21"/>
    <mergeCell ref="C22:D22"/>
    <mergeCell ref="C23:M23"/>
    <mergeCell ref="C24:D24"/>
    <mergeCell ref="C25:M25"/>
    <mergeCell ref="I6:M7"/>
    <mergeCell ref="H8:H9"/>
    <mergeCell ref="I8:M9"/>
    <mergeCell ref="C14:M14"/>
    <mergeCell ref="C15:D15"/>
    <mergeCell ref="C16:M16"/>
    <mergeCell ref="C17:D17"/>
    <mergeCell ref="C18:M18"/>
    <mergeCell ref="C19:D19"/>
    <mergeCell ref="C10:D10"/>
    <mergeCell ref="H10:J10"/>
    <mergeCell ref="K10:L10"/>
    <mergeCell ref="C11:D11"/>
    <mergeCell ref="C12:D12"/>
    <mergeCell ref="C13:D13"/>
    <mergeCell ref="A8:B9"/>
    <mergeCell ref="C8:D9"/>
    <mergeCell ref="E8:F9"/>
    <mergeCell ref="G8:G9"/>
    <mergeCell ref="A6:B7"/>
    <mergeCell ref="C6:D7"/>
    <mergeCell ref="E6:F7"/>
    <mergeCell ref="G6:G7"/>
    <mergeCell ref="H6:H7"/>
    <mergeCell ref="A4:B5"/>
    <mergeCell ref="C4:D5"/>
    <mergeCell ref="E4:F5"/>
    <mergeCell ref="G4:G5"/>
    <mergeCell ref="A1:M1"/>
    <mergeCell ref="A2:B3"/>
    <mergeCell ref="C2:D3"/>
    <mergeCell ref="E2:F3"/>
    <mergeCell ref="G2:G3"/>
    <mergeCell ref="H2:H3"/>
    <mergeCell ref="I2:M3"/>
    <mergeCell ref="H4:H5"/>
    <mergeCell ref="I4:M5"/>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3" manualBreakCount="3">
    <brk id="27" max="12" man="1"/>
    <brk id="54" max="12" man="1"/>
    <brk id="84" max="12" man="1"/>
  </row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36BB21-0320-4332-AEA5-3E2267AD2A23}">
  <sheetPr codeName="List10">
    <pageSetUpPr fitToPage="1"/>
  </sheetPr>
  <dimension ref="A1:BV93"/>
  <sheetViews>
    <sheetView view="pageBreakPreview" zoomScale="40" zoomScaleNormal="25" zoomScaleSheetLayoutView="40" workbookViewId="0">
      <pane ySplit="11" topLeftCell="A12" activePane="bottomLeft" state="frozen"/>
      <selection activeCell="D44" sqref="D44"/>
      <selection pane="bottomLeft" activeCell="C44" sqref="C44:M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64.285156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85</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956</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96</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SUM(H13:H17)</f>
        <v>0</v>
      </c>
      <c r="I12" s="100">
        <f>SUM(I13:I17)</f>
        <v>0</v>
      </c>
      <c r="J12" s="100">
        <f>SUM(J13:J17)</f>
        <v>0</v>
      </c>
      <c r="K12" s="101" t="s">
        <v>129</v>
      </c>
      <c r="L12" s="100">
        <f>SUM(L13:L17)</f>
        <v>6.9411021999999996</v>
      </c>
      <c r="M12" s="102" t="s">
        <v>129</v>
      </c>
      <c r="AG12" s="71" t="s">
        <v>129</v>
      </c>
      <c r="AQ12" s="67">
        <f>SUM(AH13:AH17)</f>
        <v>0</v>
      </c>
      <c r="AR12" s="67">
        <f>SUM(AI13:AI17)</f>
        <v>0</v>
      </c>
      <c r="AS12" s="67">
        <f>SUM(AJ13:AJ17)</f>
        <v>0</v>
      </c>
    </row>
    <row r="13" spans="1:74" x14ac:dyDescent="0.25">
      <c r="A13" s="92" t="s">
        <v>132</v>
      </c>
      <c r="B13" s="69" t="s">
        <v>150</v>
      </c>
      <c r="C13" s="306" t="s">
        <v>151</v>
      </c>
      <c r="D13" s="307"/>
      <c r="E13" s="69" t="s">
        <v>145</v>
      </c>
      <c r="F13" s="77">
        <v>4.59</v>
      </c>
      <c r="G13" s="218">
        <v>0</v>
      </c>
      <c r="H13" s="77">
        <f>F13*AM13</f>
        <v>0</v>
      </c>
      <c r="I13" s="77">
        <f>F13*AN13</f>
        <v>0</v>
      </c>
      <c r="J13" s="77">
        <f>F13*G13</f>
        <v>0</v>
      </c>
      <c r="K13" s="77">
        <v>2.478E-2</v>
      </c>
      <c r="L13" s="77">
        <f>F13*K13</f>
        <v>0.1137402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G13*0.057576377</f>
        <v>0</v>
      </c>
      <c r="AN13" s="77">
        <f>G13*(1-0.057576377)</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0.1137402</v>
      </c>
      <c r="BF13" s="77">
        <f>F13*AM13</f>
        <v>0</v>
      </c>
      <c r="BG13" s="77">
        <f>F13*AN13</f>
        <v>0</v>
      </c>
      <c r="BH13" s="77">
        <f>F13*G13</f>
        <v>0</v>
      </c>
      <c r="BI13" s="77"/>
      <c r="BJ13" s="77">
        <v>11</v>
      </c>
      <c r="BU13" s="77" t="e">
        <f>#REF!</f>
        <v>#REF!</v>
      </c>
      <c r="BV13" s="70" t="s">
        <v>151</v>
      </c>
    </row>
    <row r="14" spans="1:74" ht="40.5" customHeight="1" x14ac:dyDescent="0.25">
      <c r="A14" s="104"/>
      <c r="B14" s="81" t="s">
        <v>138</v>
      </c>
      <c r="C14" s="303" t="s">
        <v>957</v>
      </c>
      <c r="D14" s="304"/>
      <c r="E14" s="304"/>
      <c r="F14" s="304"/>
      <c r="G14" s="304"/>
      <c r="H14" s="304"/>
      <c r="I14" s="304"/>
      <c r="J14" s="304"/>
      <c r="K14" s="304"/>
      <c r="L14" s="304"/>
      <c r="M14" s="305"/>
    </row>
    <row r="15" spans="1:74" x14ac:dyDescent="0.25">
      <c r="A15" s="92" t="s">
        <v>142</v>
      </c>
      <c r="B15" s="69" t="s">
        <v>493</v>
      </c>
      <c r="C15" s="306" t="s">
        <v>494</v>
      </c>
      <c r="D15" s="307"/>
      <c r="E15" s="69" t="s">
        <v>166</v>
      </c>
      <c r="F15" s="77">
        <v>5.62</v>
      </c>
      <c r="G15" s="218">
        <v>0</v>
      </c>
      <c r="H15" s="77">
        <f>F15*AM15</f>
        <v>0</v>
      </c>
      <c r="I15" s="77">
        <f>F15*AN15</f>
        <v>0</v>
      </c>
      <c r="J15" s="77">
        <f>F15*G15</f>
        <v>0</v>
      </c>
      <c r="K15" s="77">
        <v>0.90010000000000001</v>
      </c>
      <c r="L15" s="77">
        <f>F15*K15</f>
        <v>5.0585620000000002</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G15*0.00661125</f>
        <v>0</v>
      </c>
      <c r="AN15" s="77">
        <f>G15*(1-0.00661125)</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5.0585620000000002</v>
      </c>
      <c r="BF15" s="77">
        <f>F15*AM15</f>
        <v>0</v>
      </c>
      <c r="BG15" s="77">
        <f>F15*AN15</f>
        <v>0</v>
      </c>
      <c r="BH15" s="77">
        <f>F15*G15</f>
        <v>0</v>
      </c>
      <c r="BI15" s="77"/>
      <c r="BJ15" s="77">
        <v>11</v>
      </c>
      <c r="BU15" s="77" t="e">
        <f>#REF!</f>
        <v>#REF!</v>
      </c>
      <c r="BV15" s="70" t="s">
        <v>494</v>
      </c>
    </row>
    <row r="16" spans="1:74" ht="162" customHeight="1" x14ac:dyDescent="0.25">
      <c r="A16" s="104"/>
      <c r="B16" s="81" t="s">
        <v>138</v>
      </c>
      <c r="C16" s="303" t="s">
        <v>958</v>
      </c>
      <c r="D16" s="304"/>
      <c r="E16" s="304"/>
      <c r="F16" s="304"/>
      <c r="G16" s="304"/>
      <c r="H16" s="304"/>
      <c r="I16" s="304"/>
      <c r="J16" s="304"/>
      <c r="K16" s="304"/>
      <c r="L16" s="304"/>
      <c r="M16" s="305"/>
    </row>
    <row r="17" spans="1:74" x14ac:dyDescent="0.25">
      <c r="A17" s="92" t="s">
        <v>149</v>
      </c>
      <c r="B17" s="69" t="s">
        <v>819</v>
      </c>
      <c r="C17" s="306" t="s">
        <v>990</v>
      </c>
      <c r="D17" s="307"/>
      <c r="E17" s="69" t="s">
        <v>166</v>
      </c>
      <c r="F17" s="77">
        <v>5.36</v>
      </c>
      <c r="G17" s="218">
        <v>0</v>
      </c>
      <c r="H17" s="77">
        <f>F17*AM17</f>
        <v>0</v>
      </c>
      <c r="I17" s="77">
        <f>F17*AN17</f>
        <v>0</v>
      </c>
      <c r="J17" s="77">
        <f>F17*G17</f>
        <v>0</v>
      </c>
      <c r="K17" s="77">
        <v>0.33</v>
      </c>
      <c r="L17" s="77">
        <f>F17*K17</f>
        <v>1.7688000000000001</v>
      </c>
      <c r="M17" s="103" t="s">
        <v>35</v>
      </c>
      <c r="X17" s="77">
        <f>IF(AO17="5",BH17,0)</f>
        <v>0</v>
      </c>
      <c r="Z17" s="77">
        <f>IF(AO17="1",BF17,0)</f>
        <v>0</v>
      </c>
      <c r="AA17" s="77">
        <f>IF(AO17="1",BG17,0)</f>
        <v>0</v>
      </c>
      <c r="AB17" s="77">
        <f>IF(AO17="7",BF17,0)</f>
        <v>0</v>
      </c>
      <c r="AC17" s="77">
        <f>IF(AO17="7",BG17,0)</f>
        <v>0</v>
      </c>
      <c r="AD17" s="77">
        <f>IF(AO17="2",BF17,0)</f>
        <v>0</v>
      </c>
      <c r="AE17" s="77">
        <f>IF(AO17="2",BG17,0)</f>
        <v>0</v>
      </c>
      <c r="AF17" s="77">
        <f>IF(AO17="0",BH17,0)</f>
        <v>0</v>
      </c>
      <c r="AG17" s="71" t="s">
        <v>129</v>
      </c>
      <c r="AH17" s="77">
        <f>IF(AL17=0,J17,0)</f>
        <v>0</v>
      </c>
      <c r="AI17" s="77">
        <f>IF(AL17=15,J17,0)</f>
        <v>0</v>
      </c>
      <c r="AJ17" s="77">
        <f>IF(AL17=21,J17,0)</f>
        <v>0</v>
      </c>
      <c r="AL17" s="77">
        <v>15</v>
      </c>
      <c r="AM17" s="77">
        <f>G17*0</f>
        <v>0</v>
      </c>
      <c r="AN17" s="77">
        <f>G17*(1-0)</f>
        <v>0</v>
      </c>
      <c r="AO17" s="79" t="s">
        <v>132</v>
      </c>
      <c r="AT17" s="77">
        <f>AU17+AV17</f>
        <v>0</v>
      </c>
      <c r="AU17" s="77">
        <f>F17*AM17</f>
        <v>0</v>
      </c>
      <c r="AV17" s="77">
        <f>F17*AN17</f>
        <v>0</v>
      </c>
      <c r="AW17" s="79" t="s">
        <v>146</v>
      </c>
      <c r="AX17" s="79" t="s">
        <v>147</v>
      </c>
      <c r="AY17" s="71" t="s">
        <v>137</v>
      </c>
      <c r="BA17" s="77">
        <f>AU17+AV17</f>
        <v>0</v>
      </c>
      <c r="BB17" s="77">
        <f>G17/(100-BC17)*100</f>
        <v>0</v>
      </c>
      <c r="BC17" s="77">
        <v>0</v>
      </c>
      <c r="BD17" s="77">
        <f>L17</f>
        <v>1.7688000000000001</v>
      </c>
      <c r="BF17" s="77">
        <f>F17*AM17</f>
        <v>0</v>
      </c>
      <c r="BG17" s="77">
        <f>F17*AN17</f>
        <v>0</v>
      </c>
      <c r="BH17" s="77">
        <f>F17*G17</f>
        <v>0</v>
      </c>
      <c r="BI17" s="77"/>
      <c r="BJ17" s="77">
        <v>11</v>
      </c>
      <c r="BU17" s="77" t="e">
        <f>#REF!</f>
        <v>#REF!</v>
      </c>
      <c r="BV17" s="70" t="s">
        <v>990</v>
      </c>
    </row>
    <row r="18" spans="1:74" ht="67.5" customHeight="1" x14ac:dyDescent="0.25">
      <c r="A18" s="104"/>
      <c r="B18" s="81" t="s">
        <v>138</v>
      </c>
      <c r="C18" s="303" t="s">
        <v>991</v>
      </c>
      <c r="D18" s="304"/>
      <c r="E18" s="304"/>
      <c r="F18" s="304"/>
      <c r="G18" s="304"/>
      <c r="H18" s="304"/>
      <c r="I18" s="304"/>
      <c r="J18" s="304"/>
      <c r="K18" s="304"/>
      <c r="L18" s="304"/>
      <c r="M18" s="305"/>
    </row>
    <row r="19" spans="1:74" x14ac:dyDescent="0.25">
      <c r="A19" s="105" t="s">
        <v>129</v>
      </c>
      <c r="B19" s="74" t="s">
        <v>172</v>
      </c>
      <c r="C19" s="314" t="s">
        <v>173</v>
      </c>
      <c r="D19" s="315"/>
      <c r="E19" s="75" t="s">
        <v>87</v>
      </c>
      <c r="F19" s="75" t="s">
        <v>87</v>
      </c>
      <c r="G19" s="75" t="s">
        <v>87</v>
      </c>
      <c r="H19" s="67">
        <f>SUM(H20:H22)</f>
        <v>0</v>
      </c>
      <c r="I19" s="67">
        <f>SUM(I20:I22)</f>
        <v>0</v>
      </c>
      <c r="J19" s="67">
        <f>SUM(J20:J22)</f>
        <v>0</v>
      </c>
      <c r="K19" s="71" t="s">
        <v>129</v>
      </c>
      <c r="L19" s="67">
        <f>SUM(L20:L22)</f>
        <v>0</v>
      </c>
      <c r="M19" s="106" t="s">
        <v>129</v>
      </c>
      <c r="AG19" s="71" t="s">
        <v>129</v>
      </c>
      <c r="AQ19" s="67">
        <f>SUM(AH20:AH22)</f>
        <v>0</v>
      </c>
      <c r="AR19" s="67">
        <f>SUM(AI20:AI22)</f>
        <v>0</v>
      </c>
      <c r="AS19" s="67">
        <f>SUM(AJ20:AJ22)</f>
        <v>0</v>
      </c>
    </row>
    <row r="20" spans="1:74" x14ac:dyDescent="0.25">
      <c r="A20" s="92" t="s">
        <v>153</v>
      </c>
      <c r="B20" s="69" t="s">
        <v>732</v>
      </c>
      <c r="C20" s="306" t="s">
        <v>733</v>
      </c>
      <c r="D20" s="307"/>
      <c r="E20" s="69" t="s">
        <v>177</v>
      </c>
      <c r="F20" s="77">
        <v>0.64</v>
      </c>
      <c r="G20" s="218">
        <v>0</v>
      </c>
      <c r="H20" s="77">
        <f>F20*AM20</f>
        <v>0</v>
      </c>
      <c r="I20" s="77">
        <f>F20*AN20</f>
        <v>0</v>
      </c>
      <c r="J20" s="77">
        <f>F20*G20</f>
        <v>0</v>
      </c>
      <c r="K20" s="77">
        <v>0</v>
      </c>
      <c r="L20" s="77">
        <f>F20*K20</f>
        <v>0</v>
      </c>
      <c r="M20" s="103" t="s">
        <v>35</v>
      </c>
      <c r="X20" s="77">
        <f>IF(AO20="5",BH20,0)</f>
        <v>0</v>
      </c>
      <c r="Z20" s="77">
        <f>IF(AO20="1",BF20,0)</f>
        <v>0</v>
      </c>
      <c r="AA20" s="77">
        <f>IF(AO20="1",BG20,0)</f>
        <v>0</v>
      </c>
      <c r="AB20" s="77">
        <f>IF(AO20="7",BF20,0)</f>
        <v>0</v>
      </c>
      <c r="AC20" s="77">
        <f>IF(AO20="7",BG20,0)</f>
        <v>0</v>
      </c>
      <c r="AD20" s="77">
        <f>IF(AO20="2",BF20,0)</f>
        <v>0</v>
      </c>
      <c r="AE20" s="77">
        <f>IF(AO20="2",BG20,0)</f>
        <v>0</v>
      </c>
      <c r="AF20" s="77">
        <f>IF(AO20="0",BH20,0)</f>
        <v>0</v>
      </c>
      <c r="AG20" s="71" t="s">
        <v>129</v>
      </c>
      <c r="AH20" s="77">
        <f>IF(AL20=0,J20,0)</f>
        <v>0</v>
      </c>
      <c r="AI20" s="77">
        <f>IF(AL20=15,J20,0)</f>
        <v>0</v>
      </c>
      <c r="AJ20" s="77">
        <f>IF(AL20=21,J20,0)</f>
        <v>0</v>
      </c>
      <c r="AL20" s="77">
        <v>15</v>
      </c>
      <c r="AM20" s="77">
        <f>G20*0</f>
        <v>0</v>
      </c>
      <c r="AN20" s="77">
        <f>G20*(1-0)</f>
        <v>0</v>
      </c>
      <c r="AO20" s="79" t="s">
        <v>132</v>
      </c>
      <c r="AT20" s="77">
        <f>AU20+AV20</f>
        <v>0</v>
      </c>
      <c r="AU20" s="77">
        <f>F20*AM20</f>
        <v>0</v>
      </c>
      <c r="AV20" s="77">
        <f>F20*AN20</f>
        <v>0</v>
      </c>
      <c r="AW20" s="79" t="s">
        <v>178</v>
      </c>
      <c r="AX20" s="79" t="s">
        <v>147</v>
      </c>
      <c r="AY20" s="71" t="s">
        <v>137</v>
      </c>
      <c r="BA20" s="77">
        <f>AU20+AV20</f>
        <v>0</v>
      </c>
      <c r="BB20" s="77">
        <f>G20/(100-BC20)*100</f>
        <v>0</v>
      </c>
      <c r="BC20" s="77">
        <v>0</v>
      </c>
      <c r="BD20" s="77">
        <f>L20</f>
        <v>0</v>
      </c>
      <c r="BF20" s="77">
        <f>F20*AM20</f>
        <v>0</v>
      </c>
      <c r="BG20" s="77">
        <f>F20*AN20</f>
        <v>0</v>
      </c>
      <c r="BH20" s="77">
        <f>F20*G20</f>
        <v>0</v>
      </c>
      <c r="BI20" s="77"/>
      <c r="BJ20" s="77">
        <v>12</v>
      </c>
      <c r="BU20" s="77" t="e">
        <f>#REF!</f>
        <v>#REF!</v>
      </c>
      <c r="BV20" s="70" t="s">
        <v>733</v>
      </c>
    </row>
    <row r="21" spans="1:74" ht="40.5" customHeight="1" x14ac:dyDescent="0.25">
      <c r="A21" s="104"/>
      <c r="B21" s="81" t="s">
        <v>138</v>
      </c>
      <c r="C21" s="303" t="s">
        <v>959</v>
      </c>
      <c r="D21" s="304"/>
      <c r="E21" s="304"/>
      <c r="F21" s="304"/>
      <c r="G21" s="304"/>
      <c r="H21" s="304"/>
      <c r="I21" s="304"/>
      <c r="J21" s="304"/>
      <c r="K21" s="304"/>
      <c r="L21" s="304"/>
      <c r="M21" s="305"/>
    </row>
    <row r="22" spans="1:74" x14ac:dyDescent="0.25">
      <c r="A22" s="92" t="s">
        <v>158</v>
      </c>
      <c r="B22" s="69" t="s">
        <v>175</v>
      </c>
      <c r="C22" s="306" t="s">
        <v>176</v>
      </c>
      <c r="D22" s="307"/>
      <c r="E22" s="69" t="s">
        <v>177</v>
      </c>
      <c r="F22" s="77">
        <v>1.5</v>
      </c>
      <c r="G22" s="218">
        <v>0</v>
      </c>
      <c r="H22" s="77">
        <f>F22*AM22</f>
        <v>0</v>
      </c>
      <c r="I22" s="77">
        <f>F22*AN22</f>
        <v>0</v>
      </c>
      <c r="J22" s="77">
        <f>F22*G22</f>
        <v>0</v>
      </c>
      <c r="K22" s="77">
        <v>0</v>
      </c>
      <c r="L22" s="77">
        <f>F22*K22</f>
        <v>0</v>
      </c>
      <c r="M22" s="103" t="s">
        <v>35</v>
      </c>
      <c r="X22" s="77">
        <f>IF(AO22="5",BH22,0)</f>
        <v>0</v>
      </c>
      <c r="Z22" s="77">
        <f>IF(AO22="1",BF22,0)</f>
        <v>0</v>
      </c>
      <c r="AA22" s="77">
        <f>IF(AO22="1",BG22,0)</f>
        <v>0</v>
      </c>
      <c r="AB22" s="77">
        <f>IF(AO22="7",BF22,0)</f>
        <v>0</v>
      </c>
      <c r="AC22" s="77">
        <f>IF(AO22="7",BG22,0)</f>
        <v>0</v>
      </c>
      <c r="AD22" s="77">
        <f>IF(AO22="2",BF22,0)</f>
        <v>0</v>
      </c>
      <c r="AE22" s="77">
        <f>IF(AO22="2",BG22,0)</f>
        <v>0</v>
      </c>
      <c r="AF22" s="77">
        <f>IF(AO22="0",BH22,0)</f>
        <v>0</v>
      </c>
      <c r="AG22" s="71" t="s">
        <v>129</v>
      </c>
      <c r="AH22" s="77">
        <f>IF(AL22=0,J22,0)</f>
        <v>0</v>
      </c>
      <c r="AI22" s="77">
        <f>IF(AL22=15,J22,0)</f>
        <v>0</v>
      </c>
      <c r="AJ22" s="77">
        <f>IF(AL22=21,J22,0)</f>
        <v>0</v>
      </c>
      <c r="AL22" s="77">
        <v>15</v>
      </c>
      <c r="AM22" s="77">
        <f>G22*0</f>
        <v>0</v>
      </c>
      <c r="AN22" s="77">
        <f>G22*(1-0)</f>
        <v>0</v>
      </c>
      <c r="AO22" s="79" t="s">
        <v>132</v>
      </c>
      <c r="AT22" s="77">
        <f>AU22+AV22</f>
        <v>0</v>
      </c>
      <c r="AU22" s="77">
        <f>F22*AM22</f>
        <v>0</v>
      </c>
      <c r="AV22" s="77">
        <f>F22*AN22</f>
        <v>0</v>
      </c>
      <c r="AW22" s="79" t="s">
        <v>178</v>
      </c>
      <c r="AX22" s="79" t="s">
        <v>147</v>
      </c>
      <c r="AY22" s="71" t="s">
        <v>137</v>
      </c>
      <c r="BA22" s="77">
        <f>AU22+AV22</f>
        <v>0</v>
      </c>
      <c r="BB22" s="77">
        <f>G22/(100-BC22)*100</f>
        <v>0</v>
      </c>
      <c r="BC22" s="77">
        <v>0</v>
      </c>
      <c r="BD22" s="77">
        <f>L22</f>
        <v>0</v>
      </c>
      <c r="BF22" s="77">
        <f>F22*AM22</f>
        <v>0</v>
      </c>
      <c r="BG22" s="77">
        <f>F22*AN22</f>
        <v>0</v>
      </c>
      <c r="BH22" s="77">
        <f>F22*G22</f>
        <v>0</v>
      </c>
      <c r="BI22" s="77"/>
      <c r="BJ22" s="77">
        <v>12</v>
      </c>
      <c r="BU22" s="77" t="e">
        <f>#REF!</f>
        <v>#REF!</v>
      </c>
      <c r="BV22" s="70" t="s">
        <v>176</v>
      </c>
    </row>
    <row r="23" spans="1:74" ht="40.5" customHeight="1" x14ac:dyDescent="0.25">
      <c r="A23" s="104"/>
      <c r="B23" s="81" t="s">
        <v>138</v>
      </c>
      <c r="C23" s="303" t="s">
        <v>960</v>
      </c>
      <c r="D23" s="304"/>
      <c r="E23" s="304"/>
      <c r="F23" s="304"/>
      <c r="G23" s="304"/>
      <c r="H23" s="304"/>
      <c r="I23" s="304"/>
      <c r="J23" s="304"/>
      <c r="K23" s="304"/>
      <c r="L23" s="304"/>
      <c r="M23" s="305"/>
    </row>
    <row r="24" spans="1:74" x14ac:dyDescent="0.25">
      <c r="A24" s="105" t="s">
        <v>129</v>
      </c>
      <c r="B24" s="74" t="s">
        <v>180</v>
      </c>
      <c r="C24" s="314" t="s">
        <v>181</v>
      </c>
      <c r="D24" s="315"/>
      <c r="E24" s="75" t="s">
        <v>87</v>
      </c>
      <c r="F24" s="75" t="s">
        <v>87</v>
      </c>
      <c r="G24" s="75" t="s">
        <v>87</v>
      </c>
      <c r="H24" s="67">
        <f>SUM(H25:H31)</f>
        <v>0</v>
      </c>
      <c r="I24" s="67">
        <f>SUM(I25:I31)</f>
        <v>0</v>
      </c>
      <c r="J24" s="67">
        <f>SUM(J25:J31)</f>
        <v>0</v>
      </c>
      <c r="K24" s="71" t="s">
        <v>129</v>
      </c>
      <c r="L24" s="67">
        <f>SUM(L25:L31)</f>
        <v>0</v>
      </c>
      <c r="M24" s="106" t="s">
        <v>129</v>
      </c>
      <c r="AG24" s="71" t="s">
        <v>129</v>
      </c>
      <c r="AQ24" s="67">
        <f>SUM(AH25:AH31)</f>
        <v>0</v>
      </c>
      <c r="AR24" s="67">
        <f>SUM(AI25:AI31)</f>
        <v>0</v>
      </c>
      <c r="AS24" s="67">
        <f>SUM(AJ25:AJ31)</f>
        <v>0</v>
      </c>
    </row>
    <row r="25" spans="1:74" x14ac:dyDescent="0.25">
      <c r="A25" s="92" t="s">
        <v>163</v>
      </c>
      <c r="B25" s="69" t="s">
        <v>825</v>
      </c>
      <c r="C25" s="306" t="s">
        <v>907</v>
      </c>
      <c r="D25" s="307"/>
      <c r="E25" s="69" t="s">
        <v>177</v>
      </c>
      <c r="F25" s="77">
        <v>5.28</v>
      </c>
      <c r="G25" s="218">
        <v>0</v>
      </c>
      <c r="H25" s="77">
        <f>F25*AM25</f>
        <v>0</v>
      </c>
      <c r="I25" s="77">
        <f>F25*AN25</f>
        <v>0</v>
      </c>
      <c r="J25" s="77">
        <f>F25*G25</f>
        <v>0</v>
      </c>
      <c r="K25" s="77">
        <v>0</v>
      </c>
      <c r="L25" s="77">
        <f>F25*K25</f>
        <v>0</v>
      </c>
      <c r="M25" s="103" t="s">
        <v>35</v>
      </c>
      <c r="X25" s="77">
        <f>IF(AO25="5",BH25,0)</f>
        <v>0</v>
      </c>
      <c r="Z25" s="77">
        <f>IF(AO25="1",BF25,0)</f>
        <v>0</v>
      </c>
      <c r="AA25" s="77">
        <f>IF(AO25="1",BG25,0)</f>
        <v>0</v>
      </c>
      <c r="AB25" s="77">
        <f>IF(AO25="7",BF25,0)</f>
        <v>0</v>
      </c>
      <c r="AC25" s="77">
        <f>IF(AO25="7",BG25,0)</f>
        <v>0</v>
      </c>
      <c r="AD25" s="77">
        <f>IF(AO25="2",BF25,0)</f>
        <v>0</v>
      </c>
      <c r="AE25" s="77">
        <f>IF(AO25="2",BG25,0)</f>
        <v>0</v>
      </c>
      <c r="AF25" s="77">
        <f>IF(AO25="0",BH25,0)</f>
        <v>0</v>
      </c>
      <c r="AG25" s="71" t="s">
        <v>129</v>
      </c>
      <c r="AH25" s="77">
        <f>IF(AL25=0,J25,0)</f>
        <v>0</v>
      </c>
      <c r="AI25" s="77">
        <f>IF(AL25=15,J25,0)</f>
        <v>0</v>
      </c>
      <c r="AJ25" s="77">
        <f>IF(AL25=21,J25,0)</f>
        <v>0</v>
      </c>
      <c r="AL25" s="77">
        <v>15</v>
      </c>
      <c r="AM25" s="77">
        <f>G25*0</f>
        <v>0</v>
      </c>
      <c r="AN25" s="77">
        <f>G25*(1-0)</f>
        <v>0</v>
      </c>
      <c r="AO25" s="79" t="s">
        <v>132</v>
      </c>
      <c r="AT25" s="77">
        <f>AU25+AV25</f>
        <v>0</v>
      </c>
      <c r="AU25" s="77">
        <f>F25*AM25</f>
        <v>0</v>
      </c>
      <c r="AV25" s="77">
        <f>F25*AN25</f>
        <v>0</v>
      </c>
      <c r="AW25" s="79" t="s">
        <v>185</v>
      </c>
      <c r="AX25" s="79" t="s">
        <v>147</v>
      </c>
      <c r="AY25" s="71" t="s">
        <v>137</v>
      </c>
      <c r="BA25" s="77">
        <f>AU25+AV25</f>
        <v>0</v>
      </c>
      <c r="BB25" s="77">
        <f>G25/(100-BC25)*100</f>
        <v>0</v>
      </c>
      <c r="BC25" s="77">
        <v>0</v>
      </c>
      <c r="BD25" s="77">
        <f>L25</f>
        <v>0</v>
      </c>
      <c r="BF25" s="77">
        <f>F25*AM25</f>
        <v>0</v>
      </c>
      <c r="BG25" s="77">
        <f>F25*AN25</f>
        <v>0</v>
      </c>
      <c r="BH25" s="77">
        <f>F25*G25</f>
        <v>0</v>
      </c>
      <c r="BI25" s="77"/>
      <c r="BJ25" s="77">
        <v>13</v>
      </c>
      <c r="BU25" s="77" t="e">
        <f>#REF!</f>
        <v>#REF!</v>
      </c>
      <c r="BV25" s="70" t="s">
        <v>907</v>
      </c>
    </row>
    <row r="26" spans="1:74" ht="121.5" customHeight="1" x14ac:dyDescent="0.25">
      <c r="A26" s="104"/>
      <c r="B26" s="81" t="s">
        <v>138</v>
      </c>
      <c r="C26" s="303" t="s">
        <v>961</v>
      </c>
      <c r="D26" s="304"/>
      <c r="E26" s="304"/>
      <c r="F26" s="304"/>
      <c r="G26" s="304"/>
      <c r="H26" s="304"/>
      <c r="I26" s="304"/>
      <c r="J26" s="304"/>
      <c r="K26" s="304"/>
      <c r="L26" s="304"/>
      <c r="M26" s="305"/>
    </row>
    <row r="27" spans="1:74" x14ac:dyDescent="0.25">
      <c r="A27" s="92" t="s">
        <v>168</v>
      </c>
      <c r="B27" s="69" t="s">
        <v>188</v>
      </c>
      <c r="C27" s="306" t="s">
        <v>909</v>
      </c>
      <c r="D27" s="307"/>
      <c r="E27" s="69" t="s">
        <v>177</v>
      </c>
      <c r="F27" s="77">
        <v>2.64</v>
      </c>
      <c r="G27" s="218">
        <v>0</v>
      </c>
      <c r="H27" s="77">
        <f>F27*AM27</f>
        <v>0</v>
      </c>
      <c r="I27" s="77">
        <f>F27*AN27</f>
        <v>0</v>
      </c>
      <c r="J27" s="77">
        <f>F27*G27</f>
        <v>0</v>
      </c>
      <c r="K27" s="77">
        <v>0</v>
      </c>
      <c r="L27" s="77">
        <f>F27*K27</f>
        <v>0</v>
      </c>
      <c r="M27" s="103"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f>
        <v>0</v>
      </c>
      <c r="AN27" s="77">
        <f>G27*(1-0)</f>
        <v>0</v>
      </c>
      <c r="AO27" s="79" t="s">
        <v>132</v>
      </c>
      <c r="AT27" s="77">
        <f>AU27+AV27</f>
        <v>0</v>
      </c>
      <c r="AU27" s="77">
        <f>F27*AM27</f>
        <v>0</v>
      </c>
      <c r="AV27" s="77">
        <f>F27*AN27</f>
        <v>0</v>
      </c>
      <c r="AW27" s="79" t="s">
        <v>185</v>
      </c>
      <c r="AX27" s="79" t="s">
        <v>147</v>
      </c>
      <c r="AY27" s="71" t="s">
        <v>137</v>
      </c>
      <c r="BA27" s="77">
        <f>AU27+AV27</f>
        <v>0</v>
      </c>
      <c r="BB27" s="77">
        <f>G27/(100-BC27)*100</f>
        <v>0</v>
      </c>
      <c r="BC27" s="77">
        <v>0</v>
      </c>
      <c r="BD27" s="77">
        <f>L27</f>
        <v>0</v>
      </c>
      <c r="BF27" s="77">
        <f>F27*AM27</f>
        <v>0</v>
      </c>
      <c r="BG27" s="77">
        <f>F27*AN27</f>
        <v>0</v>
      </c>
      <c r="BH27" s="77">
        <f>F27*G27</f>
        <v>0</v>
      </c>
      <c r="BI27" s="77"/>
      <c r="BJ27" s="77">
        <v>13</v>
      </c>
      <c r="BU27" s="77" t="e">
        <f>#REF!</f>
        <v>#REF!</v>
      </c>
      <c r="BV27" s="70" t="s">
        <v>909</v>
      </c>
    </row>
    <row r="28" spans="1:74" ht="40.5" customHeight="1" thickBot="1" x14ac:dyDescent="0.3">
      <c r="A28" s="107"/>
      <c r="B28" s="108" t="s">
        <v>138</v>
      </c>
      <c r="C28" s="308" t="s">
        <v>962</v>
      </c>
      <c r="D28" s="309"/>
      <c r="E28" s="309"/>
      <c r="F28" s="309"/>
      <c r="G28" s="309"/>
      <c r="H28" s="309"/>
      <c r="I28" s="309"/>
      <c r="J28" s="309"/>
      <c r="K28" s="309"/>
      <c r="L28" s="309"/>
      <c r="M28" s="310"/>
    </row>
    <row r="29" spans="1:74" x14ac:dyDescent="0.25">
      <c r="A29" s="122" t="s">
        <v>174</v>
      </c>
      <c r="B29" s="109" t="s">
        <v>191</v>
      </c>
      <c r="C29" s="312" t="s">
        <v>192</v>
      </c>
      <c r="D29" s="313"/>
      <c r="E29" s="109" t="s">
        <v>177</v>
      </c>
      <c r="F29" s="123">
        <v>5.28</v>
      </c>
      <c r="G29" s="219">
        <v>0</v>
      </c>
      <c r="H29" s="123">
        <f>F29*AM29</f>
        <v>0</v>
      </c>
      <c r="I29" s="123">
        <f>F29*AN29</f>
        <v>0</v>
      </c>
      <c r="J29" s="123">
        <f>F29*G29</f>
        <v>0</v>
      </c>
      <c r="K29" s="123">
        <v>0</v>
      </c>
      <c r="L29" s="123">
        <f>F29*K29</f>
        <v>0</v>
      </c>
      <c r="M29" s="124"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185</v>
      </c>
      <c r="AX29" s="79" t="s">
        <v>147</v>
      </c>
      <c r="AY29" s="71" t="s">
        <v>137</v>
      </c>
      <c r="BA29" s="77">
        <f>AU29+AV29</f>
        <v>0</v>
      </c>
      <c r="BB29" s="77">
        <f>G29/(100-BC29)*100</f>
        <v>0</v>
      </c>
      <c r="BC29" s="77">
        <v>0</v>
      </c>
      <c r="BD29" s="77">
        <f>L29</f>
        <v>0</v>
      </c>
      <c r="BF29" s="77">
        <f>F29*AM29</f>
        <v>0</v>
      </c>
      <c r="BG29" s="77">
        <f>F29*AN29</f>
        <v>0</v>
      </c>
      <c r="BH29" s="77">
        <f>F29*G29</f>
        <v>0</v>
      </c>
      <c r="BI29" s="77"/>
      <c r="BJ29" s="77">
        <v>13</v>
      </c>
      <c r="BU29" s="77" t="e">
        <f>#REF!</f>
        <v>#REF!</v>
      </c>
      <c r="BV29" s="70" t="s">
        <v>192</v>
      </c>
    </row>
    <row r="30" spans="1:74" ht="121.5" customHeight="1" x14ac:dyDescent="0.25">
      <c r="A30" s="104"/>
      <c r="B30" s="81" t="s">
        <v>138</v>
      </c>
      <c r="C30" s="303" t="s">
        <v>963</v>
      </c>
      <c r="D30" s="304"/>
      <c r="E30" s="304"/>
      <c r="F30" s="304"/>
      <c r="G30" s="304"/>
      <c r="H30" s="304"/>
      <c r="I30" s="304"/>
      <c r="J30" s="304"/>
      <c r="K30" s="304"/>
      <c r="L30" s="304"/>
      <c r="M30" s="305"/>
    </row>
    <row r="31" spans="1:74" x14ac:dyDescent="0.25">
      <c r="A31" s="92" t="s">
        <v>182</v>
      </c>
      <c r="B31" s="69" t="s">
        <v>194</v>
      </c>
      <c r="C31" s="306" t="s">
        <v>912</v>
      </c>
      <c r="D31" s="307"/>
      <c r="E31" s="69" t="s">
        <v>177</v>
      </c>
      <c r="F31" s="77">
        <v>1.32</v>
      </c>
      <c r="G31" s="218">
        <v>0</v>
      </c>
      <c r="H31" s="77">
        <f>F31*AM31</f>
        <v>0</v>
      </c>
      <c r="I31" s="77">
        <f>F31*AN31</f>
        <v>0</v>
      </c>
      <c r="J31" s="77">
        <f>F31*G31</f>
        <v>0</v>
      </c>
      <c r="K31" s="77">
        <v>0</v>
      </c>
      <c r="L31" s="77">
        <f>F31*K31</f>
        <v>0</v>
      </c>
      <c r="M31" s="103" t="s">
        <v>35</v>
      </c>
      <c r="X31" s="77">
        <f>IF(AO31="5",BH31,0)</f>
        <v>0</v>
      </c>
      <c r="Z31" s="77">
        <f>IF(AO31="1",BF31,0)</f>
        <v>0</v>
      </c>
      <c r="AA31" s="77">
        <f>IF(AO31="1",BG31,0)</f>
        <v>0</v>
      </c>
      <c r="AB31" s="77">
        <f>IF(AO31="7",BF31,0)</f>
        <v>0</v>
      </c>
      <c r="AC31" s="77">
        <f>IF(AO31="7",BG31,0)</f>
        <v>0</v>
      </c>
      <c r="AD31" s="77">
        <f>IF(AO31="2",BF31,0)</f>
        <v>0</v>
      </c>
      <c r="AE31" s="77">
        <f>IF(AO31="2",BG31,0)</f>
        <v>0</v>
      </c>
      <c r="AF31" s="77">
        <f>IF(AO31="0",BH31,0)</f>
        <v>0</v>
      </c>
      <c r="AG31" s="71" t="s">
        <v>129</v>
      </c>
      <c r="AH31" s="77">
        <f>IF(AL31=0,J31,0)</f>
        <v>0</v>
      </c>
      <c r="AI31" s="77">
        <f>IF(AL31=15,J31,0)</f>
        <v>0</v>
      </c>
      <c r="AJ31" s="77">
        <f>IF(AL31=21,J31,0)</f>
        <v>0</v>
      </c>
      <c r="AL31" s="77">
        <v>15</v>
      </c>
      <c r="AM31" s="77">
        <f>G31*0</f>
        <v>0</v>
      </c>
      <c r="AN31" s="77">
        <f>G31*(1-0)</f>
        <v>0</v>
      </c>
      <c r="AO31" s="79" t="s">
        <v>132</v>
      </c>
      <c r="AT31" s="77">
        <f>AU31+AV31</f>
        <v>0</v>
      </c>
      <c r="AU31" s="77">
        <f>F31*AM31</f>
        <v>0</v>
      </c>
      <c r="AV31" s="77">
        <f>F31*AN31</f>
        <v>0</v>
      </c>
      <c r="AW31" s="79" t="s">
        <v>185</v>
      </c>
      <c r="AX31" s="79" t="s">
        <v>147</v>
      </c>
      <c r="AY31" s="71" t="s">
        <v>137</v>
      </c>
      <c r="BA31" s="77">
        <f>AU31+AV31</f>
        <v>0</v>
      </c>
      <c r="BB31" s="77">
        <f>G31/(100-BC31)*100</f>
        <v>0</v>
      </c>
      <c r="BC31" s="77">
        <v>0</v>
      </c>
      <c r="BD31" s="77">
        <f>L31</f>
        <v>0</v>
      </c>
      <c r="BF31" s="77">
        <f>F31*AM31</f>
        <v>0</v>
      </c>
      <c r="BG31" s="77">
        <f>F31*AN31</f>
        <v>0</v>
      </c>
      <c r="BH31" s="77">
        <f>F31*G31</f>
        <v>0</v>
      </c>
      <c r="BI31" s="77"/>
      <c r="BJ31" s="77">
        <v>13</v>
      </c>
      <c r="BU31" s="77" t="e">
        <f>#REF!</f>
        <v>#REF!</v>
      </c>
      <c r="BV31" s="70" t="s">
        <v>912</v>
      </c>
    </row>
    <row r="32" spans="1:74" ht="40.5" customHeight="1" x14ac:dyDescent="0.25">
      <c r="A32" s="104"/>
      <c r="B32" s="81" t="s">
        <v>138</v>
      </c>
      <c r="C32" s="303" t="s">
        <v>964</v>
      </c>
      <c r="D32" s="304"/>
      <c r="E32" s="304"/>
      <c r="F32" s="304"/>
      <c r="G32" s="304"/>
      <c r="H32" s="304"/>
      <c r="I32" s="304"/>
      <c r="J32" s="304"/>
      <c r="K32" s="304"/>
      <c r="L32" s="304"/>
      <c r="M32" s="305"/>
    </row>
    <row r="33" spans="1:74" x14ac:dyDescent="0.25">
      <c r="A33" s="105" t="s">
        <v>129</v>
      </c>
      <c r="B33" s="74" t="s">
        <v>204</v>
      </c>
      <c r="C33" s="314" t="s">
        <v>208</v>
      </c>
      <c r="D33" s="315"/>
      <c r="E33" s="75" t="s">
        <v>87</v>
      </c>
      <c r="F33" s="75" t="s">
        <v>87</v>
      </c>
      <c r="G33" s="75" t="s">
        <v>87</v>
      </c>
      <c r="H33" s="67">
        <f>SUM(H34:H36)</f>
        <v>0</v>
      </c>
      <c r="I33" s="67">
        <f>SUM(I34:I36)</f>
        <v>0</v>
      </c>
      <c r="J33" s="67">
        <f>SUM(J34:J36)</f>
        <v>0</v>
      </c>
      <c r="K33" s="71" t="s">
        <v>129</v>
      </c>
      <c r="L33" s="67">
        <f>SUM(L34:L36)</f>
        <v>4.7299999999999998E-3</v>
      </c>
      <c r="M33" s="106" t="s">
        <v>129</v>
      </c>
      <c r="AG33" s="71" t="s">
        <v>129</v>
      </c>
      <c r="AQ33" s="67">
        <f>SUM(AH34:AH36)</f>
        <v>0</v>
      </c>
      <c r="AR33" s="67">
        <f>SUM(AI34:AI36)</f>
        <v>0</v>
      </c>
      <c r="AS33" s="67">
        <f>SUM(AJ34:AJ36)</f>
        <v>0</v>
      </c>
    </row>
    <row r="34" spans="1:74" x14ac:dyDescent="0.25">
      <c r="A34" s="92" t="s">
        <v>187</v>
      </c>
      <c r="B34" s="69" t="s">
        <v>210</v>
      </c>
      <c r="C34" s="306" t="s">
        <v>211</v>
      </c>
      <c r="D34" s="307"/>
      <c r="E34" s="69" t="s">
        <v>166</v>
      </c>
      <c r="F34" s="77">
        <v>5.5</v>
      </c>
      <c r="G34" s="218">
        <v>0</v>
      </c>
      <c r="H34" s="77">
        <f>F34*AM34</f>
        <v>0</v>
      </c>
      <c r="I34" s="77">
        <f>F34*AN34</f>
        <v>0</v>
      </c>
      <c r="J34" s="77">
        <f>F34*G34</f>
        <v>0</v>
      </c>
      <c r="K34" s="77">
        <v>8.5999999999999998E-4</v>
      </c>
      <c r="L34" s="77">
        <f>F34*K34</f>
        <v>4.7299999999999998E-3</v>
      </c>
      <c r="M34" s="103" t="s">
        <v>35</v>
      </c>
      <c r="X34" s="77">
        <f>IF(AO34="5",BH34,0)</f>
        <v>0</v>
      </c>
      <c r="Z34" s="77">
        <f>IF(AO34="1",BF34,0)</f>
        <v>0</v>
      </c>
      <c r="AA34" s="77">
        <f>IF(AO34="1",BG34,0)</f>
        <v>0</v>
      </c>
      <c r="AB34" s="77">
        <f>IF(AO34="7",BF34,0)</f>
        <v>0</v>
      </c>
      <c r="AC34" s="77">
        <f>IF(AO34="7",BG34,0)</f>
        <v>0</v>
      </c>
      <c r="AD34" s="77">
        <f>IF(AO34="2",BF34,0)</f>
        <v>0</v>
      </c>
      <c r="AE34" s="77">
        <f>IF(AO34="2",BG34,0)</f>
        <v>0</v>
      </c>
      <c r="AF34" s="77">
        <f>IF(AO34="0",BH34,0)</f>
        <v>0</v>
      </c>
      <c r="AG34" s="71" t="s">
        <v>129</v>
      </c>
      <c r="AH34" s="77">
        <f>IF(AL34=0,J34,0)</f>
        <v>0</v>
      </c>
      <c r="AI34" s="77">
        <f>IF(AL34=15,J34,0)</f>
        <v>0</v>
      </c>
      <c r="AJ34" s="77">
        <f>IF(AL34=21,J34,0)</f>
        <v>0</v>
      </c>
      <c r="AL34" s="77">
        <v>15</v>
      </c>
      <c r="AM34" s="77">
        <f>G34*0.088674016</f>
        <v>0</v>
      </c>
      <c r="AN34" s="77">
        <f>G34*(1-0.088674016)</f>
        <v>0</v>
      </c>
      <c r="AO34" s="79" t="s">
        <v>132</v>
      </c>
      <c r="AT34" s="77">
        <f>AU34+AV34</f>
        <v>0</v>
      </c>
      <c r="AU34" s="77">
        <f>F34*AM34</f>
        <v>0</v>
      </c>
      <c r="AV34" s="77">
        <f>F34*AN34</f>
        <v>0</v>
      </c>
      <c r="AW34" s="79" t="s">
        <v>212</v>
      </c>
      <c r="AX34" s="79" t="s">
        <v>147</v>
      </c>
      <c r="AY34" s="71" t="s">
        <v>137</v>
      </c>
      <c r="BA34" s="77">
        <f>AU34+AV34</f>
        <v>0</v>
      </c>
      <c r="BB34" s="77">
        <f>G34/(100-BC34)*100</f>
        <v>0</v>
      </c>
      <c r="BC34" s="77">
        <v>0</v>
      </c>
      <c r="BD34" s="77">
        <f>L34</f>
        <v>4.7299999999999998E-3</v>
      </c>
      <c r="BF34" s="77">
        <f>F34*AM34</f>
        <v>0</v>
      </c>
      <c r="BG34" s="77">
        <f>F34*AN34</f>
        <v>0</v>
      </c>
      <c r="BH34" s="77">
        <f>F34*G34</f>
        <v>0</v>
      </c>
      <c r="BI34" s="77"/>
      <c r="BJ34" s="77">
        <v>15</v>
      </c>
      <c r="BU34" s="77" t="e">
        <f>#REF!</f>
        <v>#REF!</v>
      </c>
      <c r="BV34" s="70" t="s">
        <v>211</v>
      </c>
    </row>
    <row r="35" spans="1:74" ht="40.5" customHeight="1" x14ac:dyDescent="0.25">
      <c r="A35" s="104"/>
      <c r="B35" s="81" t="s">
        <v>138</v>
      </c>
      <c r="C35" s="303" t="s">
        <v>965</v>
      </c>
      <c r="D35" s="304"/>
      <c r="E35" s="304"/>
      <c r="F35" s="304"/>
      <c r="G35" s="304"/>
      <c r="H35" s="304"/>
      <c r="I35" s="304"/>
      <c r="J35" s="304"/>
      <c r="K35" s="304"/>
      <c r="L35" s="304"/>
      <c r="M35" s="305"/>
    </row>
    <row r="36" spans="1:74" x14ac:dyDescent="0.25">
      <c r="A36" s="92" t="s">
        <v>140</v>
      </c>
      <c r="B36" s="69" t="s">
        <v>215</v>
      </c>
      <c r="C36" s="306" t="s">
        <v>216</v>
      </c>
      <c r="D36" s="307"/>
      <c r="E36" s="69" t="s">
        <v>166</v>
      </c>
      <c r="F36" s="77">
        <v>5.5</v>
      </c>
      <c r="G36" s="218">
        <v>0</v>
      </c>
      <c r="H36" s="77">
        <f>F36*AM36</f>
        <v>0</v>
      </c>
      <c r="I36" s="77">
        <f>F36*AN36</f>
        <v>0</v>
      </c>
      <c r="J36" s="77">
        <f>F36*G36</f>
        <v>0</v>
      </c>
      <c r="K36" s="77">
        <v>0</v>
      </c>
      <c r="L36" s="77">
        <f>F36*K36</f>
        <v>0</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f>
        <v>0</v>
      </c>
      <c r="AN36" s="77">
        <f>G36*(1-0)</f>
        <v>0</v>
      </c>
      <c r="AO36" s="79" t="s">
        <v>132</v>
      </c>
      <c r="AT36" s="77">
        <f>AU36+AV36</f>
        <v>0</v>
      </c>
      <c r="AU36" s="77">
        <f>F36*AM36</f>
        <v>0</v>
      </c>
      <c r="AV36" s="77">
        <f>F36*AN36</f>
        <v>0</v>
      </c>
      <c r="AW36" s="79" t="s">
        <v>212</v>
      </c>
      <c r="AX36" s="79" t="s">
        <v>147</v>
      </c>
      <c r="AY36" s="71" t="s">
        <v>137</v>
      </c>
      <c r="BA36" s="77">
        <f>AU36+AV36</f>
        <v>0</v>
      </c>
      <c r="BB36" s="77">
        <f>G36/(100-BC36)*100</f>
        <v>0</v>
      </c>
      <c r="BC36" s="77">
        <v>0</v>
      </c>
      <c r="BD36" s="77">
        <f>L36</f>
        <v>0</v>
      </c>
      <c r="BF36" s="77">
        <f>F36*AM36</f>
        <v>0</v>
      </c>
      <c r="BG36" s="77">
        <f>F36*AN36</f>
        <v>0</v>
      </c>
      <c r="BH36" s="77">
        <f>F36*G36</f>
        <v>0</v>
      </c>
      <c r="BI36" s="77"/>
      <c r="BJ36" s="77">
        <v>15</v>
      </c>
      <c r="BU36" s="77" t="e">
        <f>#REF!</f>
        <v>#REF!</v>
      </c>
      <c r="BV36" s="70" t="s">
        <v>216</v>
      </c>
    </row>
    <row r="37" spans="1:74" ht="40.5" customHeight="1" x14ac:dyDescent="0.25">
      <c r="A37" s="104"/>
      <c r="B37" s="81" t="s">
        <v>138</v>
      </c>
      <c r="C37" s="303" t="s">
        <v>966</v>
      </c>
      <c r="D37" s="304"/>
      <c r="E37" s="304"/>
      <c r="F37" s="304"/>
      <c r="G37" s="304"/>
      <c r="H37" s="304"/>
      <c r="I37" s="304"/>
      <c r="J37" s="304"/>
      <c r="K37" s="304"/>
      <c r="L37" s="304"/>
      <c r="M37" s="305"/>
    </row>
    <row r="38" spans="1:74" x14ac:dyDescent="0.25">
      <c r="A38" s="105" t="s">
        <v>129</v>
      </c>
      <c r="B38" s="74" t="s">
        <v>209</v>
      </c>
      <c r="C38" s="314" t="s">
        <v>218</v>
      </c>
      <c r="D38" s="315"/>
      <c r="E38" s="75" t="s">
        <v>87</v>
      </c>
      <c r="F38" s="75" t="s">
        <v>87</v>
      </c>
      <c r="G38" s="75" t="s">
        <v>87</v>
      </c>
      <c r="H38" s="67">
        <f>SUM(H39:H49)</f>
        <v>0</v>
      </c>
      <c r="I38" s="67">
        <f>SUM(I39:I49)</f>
        <v>0</v>
      </c>
      <c r="J38" s="67">
        <f>SUM(J39:J49)</f>
        <v>0</v>
      </c>
      <c r="K38" s="71" t="s">
        <v>129</v>
      </c>
      <c r="L38" s="67">
        <f>SUM(L39:L49)</f>
        <v>0</v>
      </c>
      <c r="M38" s="106" t="s">
        <v>129</v>
      </c>
      <c r="AG38" s="71" t="s">
        <v>129</v>
      </c>
      <c r="AQ38" s="67">
        <f>SUM(AH39:AH49)</f>
        <v>0</v>
      </c>
      <c r="AR38" s="67">
        <f>SUM(AI39:AI49)</f>
        <v>0</v>
      </c>
      <c r="AS38" s="67">
        <f>SUM(AJ39:AJ49)</f>
        <v>0</v>
      </c>
    </row>
    <row r="39" spans="1:74" x14ac:dyDescent="0.25">
      <c r="A39" s="92" t="s">
        <v>172</v>
      </c>
      <c r="B39" s="69" t="s">
        <v>220</v>
      </c>
      <c r="C39" s="306" t="s">
        <v>221</v>
      </c>
      <c r="D39" s="307"/>
      <c r="E39" s="69" t="s">
        <v>177</v>
      </c>
      <c r="F39" s="77">
        <v>5.28</v>
      </c>
      <c r="G39" s="218">
        <v>0</v>
      </c>
      <c r="H39" s="77">
        <f>F39*AM39</f>
        <v>0</v>
      </c>
      <c r="I39" s="77">
        <f>F39*AN39</f>
        <v>0</v>
      </c>
      <c r="J39" s="77">
        <f>F39*G39</f>
        <v>0</v>
      </c>
      <c r="K39" s="77">
        <v>0</v>
      </c>
      <c r="L39" s="77">
        <f>F39*K39</f>
        <v>0</v>
      </c>
      <c r="M39" s="103" t="s">
        <v>35</v>
      </c>
      <c r="X39" s="77">
        <f>IF(AO39="5",BH39,0)</f>
        <v>0</v>
      </c>
      <c r="Z39" s="77">
        <f>IF(AO39="1",BF39,0)</f>
        <v>0</v>
      </c>
      <c r="AA39" s="77">
        <f>IF(AO39="1",BG39,0)</f>
        <v>0</v>
      </c>
      <c r="AB39" s="77">
        <f>IF(AO39="7",BF39,0)</f>
        <v>0</v>
      </c>
      <c r="AC39" s="77">
        <f>IF(AO39="7",BG39,0)</f>
        <v>0</v>
      </c>
      <c r="AD39" s="77">
        <f>IF(AO39="2",BF39,0)</f>
        <v>0</v>
      </c>
      <c r="AE39" s="77">
        <f>IF(AO39="2",BG39,0)</f>
        <v>0</v>
      </c>
      <c r="AF39" s="77">
        <f>IF(AO39="0",BH39,0)</f>
        <v>0</v>
      </c>
      <c r="AG39" s="71" t="s">
        <v>129</v>
      </c>
      <c r="AH39" s="77">
        <f>IF(AL39=0,J39,0)</f>
        <v>0</v>
      </c>
      <c r="AI39" s="77">
        <f>IF(AL39=15,J39,0)</f>
        <v>0</v>
      </c>
      <c r="AJ39" s="77">
        <f>IF(AL39=21,J39,0)</f>
        <v>0</v>
      </c>
      <c r="AL39" s="77">
        <v>15</v>
      </c>
      <c r="AM39" s="77">
        <f>G39*0</f>
        <v>0</v>
      </c>
      <c r="AN39" s="77">
        <f>G39*(1-0)</f>
        <v>0</v>
      </c>
      <c r="AO39" s="79" t="s">
        <v>132</v>
      </c>
      <c r="AT39" s="77">
        <f>AU39+AV39</f>
        <v>0</v>
      </c>
      <c r="AU39" s="77">
        <f>F39*AM39</f>
        <v>0</v>
      </c>
      <c r="AV39" s="77">
        <f>F39*AN39</f>
        <v>0</v>
      </c>
      <c r="AW39" s="79" t="s">
        <v>222</v>
      </c>
      <c r="AX39" s="79" t="s">
        <v>147</v>
      </c>
      <c r="AY39" s="71" t="s">
        <v>137</v>
      </c>
      <c r="BA39" s="77">
        <f>AU39+AV39</f>
        <v>0</v>
      </c>
      <c r="BB39" s="77">
        <f>G39/(100-BC39)*100</f>
        <v>0</v>
      </c>
      <c r="BC39" s="77">
        <v>0</v>
      </c>
      <c r="BD39" s="77">
        <f>L39</f>
        <v>0</v>
      </c>
      <c r="BF39" s="77">
        <f>F39*AM39</f>
        <v>0</v>
      </c>
      <c r="BG39" s="77">
        <f>F39*AN39</f>
        <v>0</v>
      </c>
      <c r="BH39" s="77">
        <f>F39*G39</f>
        <v>0</v>
      </c>
      <c r="BI39" s="77"/>
      <c r="BJ39" s="77">
        <v>16</v>
      </c>
      <c r="BU39" s="77" t="e">
        <f>#REF!</f>
        <v>#REF!</v>
      </c>
      <c r="BV39" s="70" t="s">
        <v>221</v>
      </c>
    </row>
    <row r="40" spans="1:74" ht="67.5" customHeight="1" x14ac:dyDescent="0.25">
      <c r="A40" s="104"/>
      <c r="B40" s="81" t="s">
        <v>138</v>
      </c>
      <c r="C40" s="303" t="s">
        <v>967</v>
      </c>
      <c r="D40" s="304"/>
      <c r="E40" s="304"/>
      <c r="F40" s="304"/>
      <c r="G40" s="304"/>
      <c r="H40" s="304"/>
      <c r="I40" s="304"/>
      <c r="J40" s="304"/>
      <c r="K40" s="304"/>
      <c r="L40" s="304"/>
      <c r="M40" s="305"/>
    </row>
    <row r="41" spans="1:74" x14ac:dyDescent="0.25">
      <c r="A41" s="92" t="s">
        <v>180</v>
      </c>
      <c r="B41" s="69" t="s">
        <v>918</v>
      </c>
      <c r="C41" s="306" t="s">
        <v>230</v>
      </c>
      <c r="D41" s="307"/>
      <c r="E41" s="69" t="s">
        <v>177</v>
      </c>
      <c r="F41" s="77">
        <v>3.67</v>
      </c>
      <c r="G41" s="218">
        <v>0</v>
      </c>
      <c r="H41" s="77">
        <f>F41*AM41</f>
        <v>0</v>
      </c>
      <c r="I41" s="77">
        <f>F41*AN41</f>
        <v>0</v>
      </c>
      <c r="J41" s="77">
        <f>F41*G41</f>
        <v>0</v>
      </c>
      <c r="K41" s="77">
        <v>0</v>
      </c>
      <c r="L41" s="77">
        <f>F41*K41</f>
        <v>0</v>
      </c>
      <c r="M41" s="103" t="s">
        <v>35</v>
      </c>
      <c r="X41" s="77">
        <f>IF(AO41="5",BH41,0)</f>
        <v>0</v>
      </c>
      <c r="Z41" s="77">
        <f>IF(AO41="1",BF41,0)</f>
        <v>0</v>
      </c>
      <c r="AA41" s="77">
        <f>IF(AO41="1",BG41,0)</f>
        <v>0</v>
      </c>
      <c r="AB41" s="77">
        <f>IF(AO41="7",BF41,0)</f>
        <v>0</v>
      </c>
      <c r="AC41" s="77">
        <f>IF(AO41="7",BG41,0)</f>
        <v>0</v>
      </c>
      <c r="AD41" s="77">
        <f>IF(AO41="2",BF41,0)</f>
        <v>0</v>
      </c>
      <c r="AE41" s="77">
        <f>IF(AO41="2",BG41,0)</f>
        <v>0</v>
      </c>
      <c r="AF41" s="77">
        <f>IF(AO41="0",BH41,0)</f>
        <v>0</v>
      </c>
      <c r="AG41" s="71" t="s">
        <v>129</v>
      </c>
      <c r="AH41" s="77">
        <f>IF(AL41=0,J41,0)</f>
        <v>0</v>
      </c>
      <c r="AI41" s="77">
        <f>IF(AL41=15,J41,0)</f>
        <v>0</v>
      </c>
      <c r="AJ41" s="77">
        <f>IF(AL41=21,J41,0)</f>
        <v>0</v>
      </c>
      <c r="AL41" s="77">
        <v>15</v>
      </c>
      <c r="AM41" s="77">
        <f>G41*0</f>
        <v>0</v>
      </c>
      <c r="AN41" s="77">
        <f>G41*(1-0)</f>
        <v>0</v>
      </c>
      <c r="AO41" s="79" t="s">
        <v>132</v>
      </c>
      <c r="AT41" s="77">
        <f>AU41+AV41</f>
        <v>0</v>
      </c>
      <c r="AU41" s="77">
        <f>F41*AM41</f>
        <v>0</v>
      </c>
      <c r="AV41" s="77">
        <f>F41*AN41</f>
        <v>0</v>
      </c>
      <c r="AW41" s="79" t="s">
        <v>222</v>
      </c>
      <c r="AX41" s="79" t="s">
        <v>147</v>
      </c>
      <c r="AY41" s="71" t="s">
        <v>137</v>
      </c>
      <c r="BA41" s="77">
        <f>AU41+AV41</f>
        <v>0</v>
      </c>
      <c r="BB41" s="77">
        <f>G41/(100-BC41)*100</f>
        <v>0</v>
      </c>
      <c r="BC41" s="77">
        <v>0</v>
      </c>
      <c r="BD41" s="77">
        <f>L41</f>
        <v>0</v>
      </c>
      <c r="BF41" s="77">
        <f>F41*AM41</f>
        <v>0</v>
      </c>
      <c r="BG41" s="77">
        <f>F41*AN41</f>
        <v>0</v>
      </c>
      <c r="BH41" s="77">
        <f>F41*G41</f>
        <v>0</v>
      </c>
      <c r="BI41" s="77"/>
      <c r="BJ41" s="77">
        <v>16</v>
      </c>
      <c r="BU41" s="77" t="e">
        <f>#REF!</f>
        <v>#REF!</v>
      </c>
      <c r="BV41" s="70" t="s">
        <v>230</v>
      </c>
    </row>
    <row r="42" spans="1:74" ht="67.5" customHeight="1" x14ac:dyDescent="0.25">
      <c r="A42" s="104"/>
      <c r="B42" s="81" t="s">
        <v>138</v>
      </c>
      <c r="C42" s="303" t="s">
        <v>968</v>
      </c>
      <c r="D42" s="304"/>
      <c r="E42" s="304"/>
      <c r="F42" s="304"/>
      <c r="G42" s="304"/>
      <c r="H42" s="304"/>
      <c r="I42" s="304"/>
      <c r="J42" s="304"/>
      <c r="K42" s="304"/>
      <c r="L42" s="304"/>
      <c r="M42" s="305"/>
    </row>
    <row r="43" spans="1:74" ht="25.5" x14ac:dyDescent="0.25">
      <c r="A43" s="92" t="s">
        <v>200</v>
      </c>
      <c r="B43" s="69" t="s">
        <v>840</v>
      </c>
      <c r="C43" s="306" t="s">
        <v>969</v>
      </c>
      <c r="D43" s="307"/>
      <c r="E43" s="69" t="s">
        <v>177</v>
      </c>
      <c r="F43" s="77">
        <v>13.78</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15</v>
      </c>
      <c r="AM43" s="77">
        <f>G43*0</f>
        <v>0</v>
      </c>
      <c r="AN43" s="77">
        <f>G43*(1-0)</f>
        <v>0</v>
      </c>
      <c r="AO43" s="79" t="s">
        <v>132</v>
      </c>
      <c r="AT43" s="77">
        <f>AU43+AV43</f>
        <v>0</v>
      </c>
      <c r="AU43" s="77">
        <f>F43*AM43</f>
        <v>0</v>
      </c>
      <c r="AV43" s="77">
        <f>F43*AN43</f>
        <v>0</v>
      </c>
      <c r="AW43" s="79" t="s">
        <v>222</v>
      </c>
      <c r="AX43" s="79" t="s">
        <v>147</v>
      </c>
      <c r="AY43" s="71" t="s">
        <v>137</v>
      </c>
      <c r="BA43" s="77">
        <f>AU43+AV43</f>
        <v>0</v>
      </c>
      <c r="BB43" s="77">
        <f>G43/(100-BC43)*100</f>
        <v>0</v>
      </c>
      <c r="BC43" s="77">
        <v>0</v>
      </c>
      <c r="BD43" s="77">
        <f>L43</f>
        <v>0</v>
      </c>
      <c r="BF43" s="77">
        <f>F43*AM43</f>
        <v>0</v>
      </c>
      <c r="BG43" s="77">
        <f>F43*AN43</f>
        <v>0</v>
      </c>
      <c r="BH43" s="77">
        <f>F43*G43</f>
        <v>0</v>
      </c>
      <c r="BI43" s="77"/>
      <c r="BJ43" s="77">
        <v>16</v>
      </c>
      <c r="BU43" s="77" t="e">
        <f>#REF!</f>
        <v>#REF!</v>
      </c>
      <c r="BV43" s="70" t="s">
        <v>969</v>
      </c>
    </row>
    <row r="44" spans="1:74" ht="40.5" customHeight="1" x14ac:dyDescent="0.25">
      <c r="A44" s="104"/>
      <c r="B44" s="81" t="s">
        <v>138</v>
      </c>
      <c r="C44" s="303" t="s">
        <v>970</v>
      </c>
      <c r="D44" s="304"/>
      <c r="E44" s="304"/>
      <c r="F44" s="304"/>
      <c r="G44" s="304"/>
      <c r="H44" s="304"/>
      <c r="I44" s="304"/>
      <c r="J44" s="304"/>
      <c r="K44" s="304"/>
      <c r="L44" s="304"/>
      <c r="M44" s="305"/>
    </row>
    <row r="45" spans="1:74" ht="25.5" x14ac:dyDescent="0.25">
      <c r="A45" s="92" t="s">
        <v>204</v>
      </c>
      <c r="B45" s="69" t="s">
        <v>241</v>
      </c>
      <c r="C45" s="306" t="s">
        <v>242</v>
      </c>
      <c r="D45" s="307"/>
      <c r="E45" s="69" t="s">
        <v>177</v>
      </c>
      <c r="F45" s="77">
        <v>13.78</v>
      </c>
      <c r="G45" s="218">
        <v>0</v>
      </c>
      <c r="H45" s="77">
        <f>F45*AM45</f>
        <v>0</v>
      </c>
      <c r="I45" s="77">
        <f>F45*AN45</f>
        <v>0</v>
      </c>
      <c r="J45" s="77">
        <f>F45*G45</f>
        <v>0</v>
      </c>
      <c r="K45" s="77">
        <v>0</v>
      </c>
      <c r="L45" s="77">
        <f>F45*K45</f>
        <v>0</v>
      </c>
      <c r="M45" s="103" t="s">
        <v>35</v>
      </c>
      <c r="X45" s="77">
        <f>IF(AO45="5",BH45,0)</f>
        <v>0</v>
      </c>
      <c r="Z45" s="77">
        <f>IF(AO45="1",BF45,0)</f>
        <v>0</v>
      </c>
      <c r="AA45" s="77">
        <f>IF(AO45="1",BG45,0)</f>
        <v>0</v>
      </c>
      <c r="AB45" s="77">
        <f>IF(AO45="7",BF45,0)</f>
        <v>0</v>
      </c>
      <c r="AC45" s="77">
        <f>IF(AO45="7",BG45,0)</f>
        <v>0</v>
      </c>
      <c r="AD45" s="77">
        <f>IF(AO45="2",BF45,0)</f>
        <v>0</v>
      </c>
      <c r="AE45" s="77">
        <f>IF(AO45="2",BG45,0)</f>
        <v>0</v>
      </c>
      <c r="AF45" s="77">
        <f>IF(AO45="0",BH45,0)</f>
        <v>0</v>
      </c>
      <c r="AG45" s="71" t="s">
        <v>129</v>
      </c>
      <c r="AH45" s="77">
        <f>IF(AL45=0,J45,0)</f>
        <v>0</v>
      </c>
      <c r="AI45" s="77">
        <f>IF(AL45=15,J45,0)</f>
        <v>0</v>
      </c>
      <c r="AJ45" s="77">
        <f>IF(AL45=21,J45,0)</f>
        <v>0</v>
      </c>
      <c r="AL45" s="77">
        <v>15</v>
      </c>
      <c r="AM45" s="77">
        <f>G45*0</f>
        <v>0</v>
      </c>
      <c r="AN45" s="77">
        <f>G45*(1-0)</f>
        <v>0</v>
      </c>
      <c r="AO45" s="79" t="s">
        <v>132</v>
      </c>
      <c r="AT45" s="77">
        <f>AU45+AV45</f>
        <v>0</v>
      </c>
      <c r="AU45" s="77">
        <f>F45*AM45</f>
        <v>0</v>
      </c>
      <c r="AV45" s="77">
        <f>F45*AN45</f>
        <v>0</v>
      </c>
      <c r="AW45" s="79" t="s">
        <v>222</v>
      </c>
      <c r="AX45" s="79" t="s">
        <v>147</v>
      </c>
      <c r="AY45" s="71" t="s">
        <v>137</v>
      </c>
      <c r="BA45" s="77">
        <f>AU45+AV45</f>
        <v>0</v>
      </c>
      <c r="BB45" s="77">
        <f>G45/(100-BC45)*100</f>
        <v>0</v>
      </c>
      <c r="BC45" s="77">
        <v>0</v>
      </c>
      <c r="BD45" s="77">
        <f>L45</f>
        <v>0</v>
      </c>
      <c r="BF45" s="77">
        <f>F45*AM45</f>
        <v>0</v>
      </c>
      <c r="BG45" s="77">
        <f>F45*AN45</f>
        <v>0</v>
      </c>
      <c r="BH45" s="77">
        <f>F45*G45</f>
        <v>0</v>
      </c>
      <c r="BI45" s="77"/>
      <c r="BJ45" s="77">
        <v>16</v>
      </c>
      <c r="BU45" s="77" t="e">
        <f>#REF!</f>
        <v>#REF!</v>
      </c>
      <c r="BV45" s="70" t="s">
        <v>242</v>
      </c>
    </row>
    <row r="46" spans="1:74" ht="40.5" customHeight="1" x14ac:dyDescent="0.25">
      <c r="A46" s="104"/>
      <c r="B46" s="81" t="s">
        <v>138</v>
      </c>
      <c r="C46" s="303" t="s">
        <v>971</v>
      </c>
      <c r="D46" s="304"/>
      <c r="E46" s="304"/>
      <c r="F46" s="304"/>
      <c r="G46" s="304"/>
      <c r="H46" s="304"/>
      <c r="I46" s="304"/>
      <c r="J46" s="304"/>
      <c r="K46" s="304"/>
      <c r="L46" s="304"/>
      <c r="M46" s="305"/>
    </row>
    <row r="47" spans="1:74" x14ac:dyDescent="0.25">
      <c r="A47" s="92" t="s">
        <v>209</v>
      </c>
      <c r="B47" s="69" t="s">
        <v>749</v>
      </c>
      <c r="C47" s="306" t="s">
        <v>750</v>
      </c>
      <c r="D47" s="307"/>
      <c r="E47" s="69" t="s">
        <v>177</v>
      </c>
      <c r="F47" s="77">
        <v>1.28</v>
      </c>
      <c r="G47" s="218">
        <v>0</v>
      </c>
      <c r="H47" s="77">
        <f>F47*AM47</f>
        <v>0</v>
      </c>
      <c r="I47" s="77">
        <f>F47*AN47</f>
        <v>0</v>
      </c>
      <c r="J47" s="77">
        <f>F47*G47</f>
        <v>0</v>
      </c>
      <c r="K47" s="77">
        <v>0</v>
      </c>
      <c r="L47" s="77">
        <f>F47*K47</f>
        <v>0</v>
      </c>
      <c r="M47" s="103" t="s">
        <v>35</v>
      </c>
      <c r="X47" s="77">
        <f>IF(AO47="5",BH47,0)</f>
        <v>0</v>
      </c>
      <c r="Z47" s="77">
        <f>IF(AO47="1",BF47,0)</f>
        <v>0</v>
      </c>
      <c r="AA47" s="77">
        <f>IF(AO47="1",BG47,0)</f>
        <v>0</v>
      </c>
      <c r="AB47" s="77">
        <f>IF(AO47="7",BF47,0)</f>
        <v>0</v>
      </c>
      <c r="AC47" s="77">
        <f>IF(AO47="7",BG47,0)</f>
        <v>0</v>
      </c>
      <c r="AD47" s="77">
        <f>IF(AO47="2",BF47,0)</f>
        <v>0</v>
      </c>
      <c r="AE47" s="77">
        <f>IF(AO47="2",BG47,0)</f>
        <v>0</v>
      </c>
      <c r="AF47" s="77">
        <f>IF(AO47="0",BH47,0)</f>
        <v>0</v>
      </c>
      <c r="AG47" s="71" t="s">
        <v>129</v>
      </c>
      <c r="AH47" s="77">
        <f>IF(AL47=0,J47,0)</f>
        <v>0</v>
      </c>
      <c r="AI47" s="77">
        <f>IF(AL47=15,J47,0)</f>
        <v>0</v>
      </c>
      <c r="AJ47" s="77">
        <f>IF(AL47=21,J47,0)</f>
        <v>0</v>
      </c>
      <c r="AL47" s="77">
        <v>15</v>
      </c>
      <c r="AM47" s="77">
        <f>G47*0</f>
        <v>0</v>
      </c>
      <c r="AN47" s="77">
        <f>G47*(1-0)</f>
        <v>0</v>
      </c>
      <c r="AO47" s="79" t="s">
        <v>132</v>
      </c>
      <c r="AT47" s="77">
        <f>AU47+AV47</f>
        <v>0</v>
      </c>
      <c r="AU47" s="77">
        <f>F47*AM47</f>
        <v>0</v>
      </c>
      <c r="AV47" s="77">
        <f>F47*AN47</f>
        <v>0</v>
      </c>
      <c r="AW47" s="79" t="s">
        <v>222</v>
      </c>
      <c r="AX47" s="79" t="s">
        <v>147</v>
      </c>
      <c r="AY47" s="71" t="s">
        <v>137</v>
      </c>
      <c r="BA47" s="77">
        <f>AU47+AV47</f>
        <v>0</v>
      </c>
      <c r="BB47" s="77">
        <f>G47/(100-BC47)*100</f>
        <v>0</v>
      </c>
      <c r="BC47" s="77">
        <v>0</v>
      </c>
      <c r="BD47" s="77">
        <f>L47</f>
        <v>0</v>
      </c>
      <c r="BF47" s="77">
        <f>F47*AM47</f>
        <v>0</v>
      </c>
      <c r="BG47" s="77">
        <f>F47*AN47</f>
        <v>0</v>
      </c>
      <c r="BH47" s="77">
        <f>F47*G47</f>
        <v>0</v>
      </c>
      <c r="BI47" s="77"/>
      <c r="BJ47" s="77">
        <v>16</v>
      </c>
      <c r="BU47" s="77" t="e">
        <f>#REF!</f>
        <v>#REF!</v>
      </c>
      <c r="BV47" s="70" t="s">
        <v>750</v>
      </c>
    </row>
    <row r="48" spans="1:74" ht="40.5" customHeight="1" x14ac:dyDescent="0.25">
      <c r="A48" s="104"/>
      <c r="B48" s="81" t="s">
        <v>138</v>
      </c>
      <c r="C48" s="303" t="s">
        <v>972</v>
      </c>
      <c r="D48" s="304"/>
      <c r="E48" s="304"/>
      <c r="F48" s="304"/>
      <c r="G48" s="304"/>
      <c r="H48" s="304"/>
      <c r="I48" s="304"/>
      <c r="J48" s="304"/>
      <c r="K48" s="304"/>
      <c r="L48" s="304"/>
      <c r="M48" s="305"/>
    </row>
    <row r="49" spans="1:74" x14ac:dyDescent="0.25">
      <c r="A49" s="92" t="s">
        <v>214</v>
      </c>
      <c r="B49" s="69" t="s">
        <v>752</v>
      </c>
      <c r="C49" s="306" t="s">
        <v>753</v>
      </c>
      <c r="D49" s="307"/>
      <c r="E49" s="69" t="s">
        <v>177</v>
      </c>
      <c r="F49" s="77">
        <v>1.28</v>
      </c>
      <c r="G49" s="218">
        <v>0</v>
      </c>
      <c r="H49" s="77">
        <f>F49*AM49</f>
        <v>0</v>
      </c>
      <c r="I49" s="77">
        <f>F49*AN49</f>
        <v>0</v>
      </c>
      <c r="J49" s="77">
        <f>F49*G49</f>
        <v>0</v>
      </c>
      <c r="K49" s="77">
        <v>0</v>
      </c>
      <c r="L49" s="77">
        <f>F49*K49</f>
        <v>0</v>
      </c>
      <c r="M49" s="103" t="s">
        <v>35</v>
      </c>
      <c r="X49" s="77">
        <f>IF(AO49="5",BH49,0)</f>
        <v>0</v>
      </c>
      <c r="Z49" s="77">
        <f>IF(AO49="1",BF49,0)</f>
        <v>0</v>
      </c>
      <c r="AA49" s="77">
        <f>IF(AO49="1",BG49,0)</f>
        <v>0</v>
      </c>
      <c r="AB49" s="77">
        <f>IF(AO49="7",BF49,0)</f>
        <v>0</v>
      </c>
      <c r="AC49" s="77">
        <f>IF(AO49="7",BG49,0)</f>
        <v>0</v>
      </c>
      <c r="AD49" s="77">
        <f>IF(AO49="2",BF49,0)</f>
        <v>0</v>
      </c>
      <c r="AE49" s="77">
        <f>IF(AO49="2",BG49,0)</f>
        <v>0</v>
      </c>
      <c r="AF49" s="77">
        <f>IF(AO49="0",BH49,0)</f>
        <v>0</v>
      </c>
      <c r="AG49" s="71" t="s">
        <v>129</v>
      </c>
      <c r="AH49" s="77">
        <f>IF(AL49=0,J49,0)</f>
        <v>0</v>
      </c>
      <c r="AI49" s="77">
        <f>IF(AL49=15,J49,0)</f>
        <v>0</v>
      </c>
      <c r="AJ49" s="77">
        <f>IF(AL49=21,J49,0)</f>
        <v>0</v>
      </c>
      <c r="AL49" s="77">
        <v>15</v>
      </c>
      <c r="AM49" s="77">
        <f>G49*0</f>
        <v>0</v>
      </c>
      <c r="AN49" s="77">
        <f>G49*(1-0)</f>
        <v>0</v>
      </c>
      <c r="AO49" s="79" t="s">
        <v>132</v>
      </c>
      <c r="AT49" s="77">
        <f>AU49+AV49</f>
        <v>0</v>
      </c>
      <c r="AU49" s="77">
        <f>F49*AM49</f>
        <v>0</v>
      </c>
      <c r="AV49" s="77">
        <f>F49*AN49</f>
        <v>0</v>
      </c>
      <c r="AW49" s="79" t="s">
        <v>222</v>
      </c>
      <c r="AX49" s="79" t="s">
        <v>147</v>
      </c>
      <c r="AY49" s="71" t="s">
        <v>137</v>
      </c>
      <c r="BA49" s="77">
        <f>AU49+AV49</f>
        <v>0</v>
      </c>
      <c r="BB49" s="77">
        <f>G49/(100-BC49)*100</f>
        <v>0</v>
      </c>
      <c r="BC49" s="77">
        <v>0</v>
      </c>
      <c r="BD49" s="77">
        <f>L49</f>
        <v>0</v>
      </c>
      <c r="BF49" s="77">
        <f>F49*AM49</f>
        <v>0</v>
      </c>
      <c r="BG49" s="77">
        <f>F49*AN49</f>
        <v>0</v>
      </c>
      <c r="BH49" s="77">
        <f>F49*G49</f>
        <v>0</v>
      </c>
      <c r="BI49" s="77"/>
      <c r="BJ49" s="77">
        <v>16</v>
      </c>
      <c r="BU49" s="77" t="e">
        <f>#REF!</f>
        <v>#REF!</v>
      </c>
      <c r="BV49" s="70" t="s">
        <v>753</v>
      </c>
    </row>
    <row r="50" spans="1:74" ht="40.5" customHeight="1" x14ac:dyDescent="0.25">
      <c r="A50" s="104"/>
      <c r="B50" s="81" t="s">
        <v>138</v>
      </c>
      <c r="C50" s="303" t="s">
        <v>973</v>
      </c>
      <c r="D50" s="304"/>
      <c r="E50" s="304"/>
      <c r="F50" s="304"/>
      <c r="G50" s="304"/>
      <c r="H50" s="304"/>
      <c r="I50" s="304"/>
      <c r="J50" s="304"/>
      <c r="K50" s="304"/>
      <c r="L50" s="304"/>
      <c r="M50" s="305"/>
    </row>
    <row r="51" spans="1:74" x14ac:dyDescent="0.25">
      <c r="A51" s="105" t="s">
        <v>129</v>
      </c>
      <c r="B51" s="74" t="s">
        <v>214</v>
      </c>
      <c r="C51" s="314" t="s">
        <v>244</v>
      </c>
      <c r="D51" s="315"/>
      <c r="E51" s="75" t="s">
        <v>87</v>
      </c>
      <c r="F51" s="75" t="s">
        <v>87</v>
      </c>
      <c r="G51" s="75" t="s">
        <v>87</v>
      </c>
      <c r="H51" s="67">
        <f>SUM(H52:H56)</f>
        <v>0</v>
      </c>
      <c r="I51" s="67">
        <f>SUM(I52:I56)</f>
        <v>0</v>
      </c>
      <c r="J51" s="67">
        <f>SUM(J52:J56)</f>
        <v>0</v>
      </c>
      <c r="K51" s="71" t="s">
        <v>129</v>
      </c>
      <c r="L51" s="67">
        <f>SUM(L52:L56)</f>
        <v>5.0830000000000002</v>
      </c>
      <c r="M51" s="106" t="s">
        <v>129</v>
      </c>
      <c r="AG51" s="71" t="s">
        <v>129</v>
      </c>
      <c r="AQ51" s="67">
        <f>SUM(AH52:AH56)</f>
        <v>0</v>
      </c>
      <c r="AR51" s="67">
        <f>SUM(AI52:AI56)</f>
        <v>0</v>
      </c>
      <c r="AS51" s="67">
        <f>SUM(AJ52:AJ56)</f>
        <v>0</v>
      </c>
    </row>
    <row r="52" spans="1:74" x14ac:dyDescent="0.25">
      <c r="A52" s="92" t="s">
        <v>219</v>
      </c>
      <c r="B52" s="69" t="s">
        <v>246</v>
      </c>
      <c r="C52" s="306" t="s">
        <v>247</v>
      </c>
      <c r="D52" s="307"/>
      <c r="E52" s="69" t="s">
        <v>177</v>
      </c>
      <c r="F52" s="77">
        <v>2.99</v>
      </c>
      <c r="G52" s="218">
        <v>0</v>
      </c>
      <c r="H52" s="77">
        <f>F52*AM52</f>
        <v>0</v>
      </c>
      <c r="I52" s="77">
        <f>F52*AN52</f>
        <v>0</v>
      </c>
      <c r="J52" s="77">
        <f>F52*G52</f>
        <v>0</v>
      </c>
      <c r="K52" s="77">
        <v>1.7</v>
      </c>
      <c r="L52" s="77">
        <f>F52*K52</f>
        <v>5.0830000000000002</v>
      </c>
      <c r="M52" s="103"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15</v>
      </c>
      <c r="AM52" s="77">
        <f>G52*0.512975726</f>
        <v>0</v>
      </c>
      <c r="AN52" s="77">
        <f>G52*(1-0.512975726)</f>
        <v>0</v>
      </c>
      <c r="AO52" s="79" t="s">
        <v>132</v>
      </c>
      <c r="AT52" s="77">
        <f>AU52+AV52</f>
        <v>0</v>
      </c>
      <c r="AU52" s="77">
        <f>F52*AM52</f>
        <v>0</v>
      </c>
      <c r="AV52" s="77">
        <f>F52*AN52</f>
        <v>0</v>
      </c>
      <c r="AW52" s="79" t="s">
        <v>248</v>
      </c>
      <c r="AX52" s="79" t="s">
        <v>147</v>
      </c>
      <c r="AY52" s="71" t="s">
        <v>137</v>
      </c>
      <c r="BA52" s="77">
        <f>AU52+AV52</f>
        <v>0</v>
      </c>
      <c r="BB52" s="77">
        <f>G52/(100-BC52)*100</f>
        <v>0</v>
      </c>
      <c r="BC52" s="77">
        <v>0</v>
      </c>
      <c r="BD52" s="77">
        <f>L52</f>
        <v>5.0830000000000002</v>
      </c>
      <c r="BF52" s="77">
        <f>F52*AM52</f>
        <v>0</v>
      </c>
      <c r="BG52" s="77">
        <f>F52*AN52</f>
        <v>0</v>
      </c>
      <c r="BH52" s="77">
        <f>F52*G52</f>
        <v>0</v>
      </c>
      <c r="BI52" s="77"/>
      <c r="BJ52" s="77">
        <v>17</v>
      </c>
      <c r="BU52" s="77" t="e">
        <f>#REF!</f>
        <v>#REF!</v>
      </c>
      <c r="BV52" s="70" t="s">
        <v>247</v>
      </c>
    </row>
    <row r="53" spans="1:74" ht="54" customHeight="1" x14ac:dyDescent="0.25">
      <c r="A53" s="104"/>
      <c r="B53" s="81" t="s">
        <v>138</v>
      </c>
      <c r="C53" s="303" t="s">
        <v>974</v>
      </c>
      <c r="D53" s="304"/>
      <c r="E53" s="304"/>
      <c r="F53" s="304"/>
      <c r="G53" s="304"/>
      <c r="H53" s="304"/>
      <c r="I53" s="304"/>
      <c r="J53" s="304"/>
      <c r="K53" s="304"/>
      <c r="L53" s="304"/>
      <c r="M53" s="305"/>
    </row>
    <row r="54" spans="1:74" x14ac:dyDescent="0.25">
      <c r="A54" s="92" t="s">
        <v>224</v>
      </c>
      <c r="B54" s="69" t="s">
        <v>251</v>
      </c>
      <c r="C54" s="306" t="s">
        <v>252</v>
      </c>
      <c r="D54" s="307"/>
      <c r="E54" s="69" t="s">
        <v>177</v>
      </c>
      <c r="F54" s="77">
        <v>2.99</v>
      </c>
      <c r="G54" s="218">
        <v>0</v>
      </c>
      <c r="H54" s="77">
        <f>F54*AM54</f>
        <v>0</v>
      </c>
      <c r="I54" s="77">
        <f>F54*AN54</f>
        <v>0</v>
      </c>
      <c r="J54" s="77">
        <f>F54*G54</f>
        <v>0</v>
      </c>
      <c r="K54" s="77">
        <v>0</v>
      </c>
      <c r="L54" s="77">
        <f>F54*K54</f>
        <v>0</v>
      </c>
      <c r="M54" s="103"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f>
        <v>0</v>
      </c>
      <c r="AN54" s="77">
        <f>G54*(1-0)</f>
        <v>0</v>
      </c>
      <c r="AO54" s="79" t="s">
        <v>132</v>
      </c>
      <c r="AT54" s="77">
        <f>AU54+AV54</f>
        <v>0</v>
      </c>
      <c r="AU54" s="77">
        <f>F54*AM54</f>
        <v>0</v>
      </c>
      <c r="AV54" s="77">
        <f>F54*AN54</f>
        <v>0</v>
      </c>
      <c r="AW54" s="79" t="s">
        <v>248</v>
      </c>
      <c r="AX54" s="79" t="s">
        <v>147</v>
      </c>
      <c r="AY54" s="71" t="s">
        <v>137</v>
      </c>
      <c r="BA54" s="77">
        <f>AU54+AV54</f>
        <v>0</v>
      </c>
      <c r="BB54" s="77">
        <f>G54/(100-BC54)*100</f>
        <v>0</v>
      </c>
      <c r="BC54" s="77">
        <v>0</v>
      </c>
      <c r="BD54" s="77">
        <f>L54</f>
        <v>0</v>
      </c>
      <c r="BF54" s="77">
        <f>F54*AM54</f>
        <v>0</v>
      </c>
      <c r="BG54" s="77">
        <f>F54*AN54</f>
        <v>0</v>
      </c>
      <c r="BH54" s="77">
        <f>F54*G54</f>
        <v>0</v>
      </c>
      <c r="BI54" s="77"/>
      <c r="BJ54" s="77">
        <v>17</v>
      </c>
      <c r="BU54" s="77" t="e">
        <f>#REF!</f>
        <v>#REF!</v>
      </c>
      <c r="BV54" s="70" t="s">
        <v>252</v>
      </c>
    </row>
    <row r="55" spans="1:74" ht="40.5" customHeight="1" thickBot="1" x14ac:dyDescent="0.3">
      <c r="A55" s="107"/>
      <c r="B55" s="108" t="s">
        <v>138</v>
      </c>
      <c r="C55" s="308" t="s">
        <v>975</v>
      </c>
      <c r="D55" s="309"/>
      <c r="E55" s="309"/>
      <c r="F55" s="309"/>
      <c r="G55" s="309"/>
      <c r="H55" s="309"/>
      <c r="I55" s="309"/>
      <c r="J55" s="309"/>
      <c r="K55" s="309"/>
      <c r="L55" s="309"/>
      <c r="M55" s="310"/>
    </row>
    <row r="56" spans="1:74" x14ac:dyDescent="0.25">
      <c r="A56" s="122" t="s">
        <v>228</v>
      </c>
      <c r="B56" s="109" t="s">
        <v>254</v>
      </c>
      <c r="C56" s="312" t="s">
        <v>255</v>
      </c>
      <c r="D56" s="313"/>
      <c r="E56" s="109" t="s">
        <v>177</v>
      </c>
      <c r="F56" s="123">
        <v>6.89</v>
      </c>
      <c r="G56" s="219">
        <v>0</v>
      </c>
      <c r="H56" s="123">
        <f>F56*AM56</f>
        <v>0</v>
      </c>
      <c r="I56" s="123">
        <f>F56*AN56</f>
        <v>0</v>
      </c>
      <c r="J56" s="123">
        <f>F56*G56</f>
        <v>0</v>
      </c>
      <c r="K56" s="123">
        <v>0</v>
      </c>
      <c r="L56" s="123">
        <f>F56*K56</f>
        <v>0</v>
      </c>
      <c r="M56" s="124" t="s">
        <v>35</v>
      </c>
      <c r="X56" s="77">
        <f>IF(AO56="5",BH56,0)</f>
        <v>0</v>
      </c>
      <c r="Z56" s="77">
        <f>IF(AO56="1",BF56,0)</f>
        <v>0</v>
      </c>
      <c r="AA56" s="77">
        <f>IF(AO56="1",BG56,0)</f>
        <v>0</v>
      </c>
      <c r="AB56" s="77">
        <f>IF(AO56="7",BF56,0)</f>
        <v>0</v>
      </c>
      <c r="AC56" s="77">
        <f>IF(AO56="7",BG56,0)</f>
        <v>0</v>
      </c>
      <c r="AD56" s="77">
        <f>IF(AO56="2",BF56,0)</f>
        <v>0</v>
      </c>
      <c r="AE56" s="77">
        <f>IF(AO56="2",BG56,0)</f>
        <v>0</v>
      </c>
      <c r="AF56" s="77">
        <f>IF(AO56="0",BH56,0)</f>
        <v>0</v>
      </c>
      <c r="AG56" s="71" t="s">
        <v>129</v>
      </c>
      <c r="AH56" s="77">
        <f>IF(AL56=0,J56,0)</f>
        <v>0</v>
      </c>
      <c r="AI56" s="77">
        <f>IF(AL56=15,J56,0)</f>
        <v>0</v>
      </c>
      <c r="AJ56" s="77">
        <f>IF(AL56=21,J56,0)</f>
        <v>0</v>
      </c>
      <c r="AL56" s="77">
        <v>15</v>
      </c>
      <c r="AM56" s="77">
        <f>G56*0</f>
        <v>0</v>
      </c>
      <c r="AN56" s="77">
        <f>G56*(1-0)</f>
        <v>0</v>
      </c>
      <c r="AO56" s="79" t="s">
        <v>132</v>
      </c>
      <c r="AT56" s="77">
        <f>AU56+AV56</f>
        <v>0</v>
      </c>
      <c r="AU56" s="77">
        <f>F56*AM56</f>
        <v>0</v>
      </c>
      <c r="AV56" s="77">
        <f>F56*AN56</f>
        <v>0</v>
      </c>
      <c r="AW56" s="79" t="s">
        <v>248</v>
      </c>
      <c r="AX56" s="79" t="s">
        <v>147</v>
      </c>
      <c r="AY56" s="71" t="s">
        <v>137</v>
      </c>
      <c r="BA56" s="77">
        <f>AU56+AV56</f>
        <v>0</v>
      </c>
      <c r="BB56" s="77">
        <f>G56/(100-BC56)*100</f>
        <v>0</v>
      </c>
      <c r="BC56" s="77">
        <v>0</v>
      </c>
      <c r="BD56" s="77">
        <f>L56</f>
        <v>0</v>
      </c>
      <c r="BF56" s="77">
        <f>F56*AM56</f>
        <v>0</v>
      </c>
      <c r="BG56" s="77">
        <f>F56*AN56</f>
        <v>0</v>
      </c>
      <c r="BH56" s="77">
        <f>F56*G56</f>
        <v>0</v>
      </c>
      <c r="BI56" s="77"/>
      <c r="BJ56" s="77">
        <v>17</v>
      </c>
      <c r="BU56" s="77" t="e">
        <f>#REF!</f>
        <v>#REF!</v>
      </c>
      <c r="BV56" s="70" t="s">
        <v>255</v>
      </c>
    </row>
    <row r="57" spans="1:74" ht="94.5" customHeight="1" x14ac:dyDescent="0.25">
      <c r="A57" s="104"/>
      <c r="B57" s="81" t="s">
        <v>138</v>
      </c>
      <c r="C57" s="303" t="s">
        <v>976</v>
      </c>
      <c r="D57" s="304"/>
      <c r="E57" s="304"/>
      <c r="F57" s="304"/>
      <c r="G57" s="304"/>
      <c r="H57" s="304"/>
      <c r="I57" s="304"/>
      <c r="J57" s="304"/>
      <c r="K57" s="304"/>
      <c r="L57" s="304"/>
      <c r="M57" s="305"/>
    </row>
    <row r="58" spans="1:74" x14ac:dyDescent="0.25">
      <c r="A58" s="105" t="s">
        <v>129</v>
      </c>
      <c r="B58" s="74" t="s">
        <v>224</v>
      </c>
      <c r="C58" s="314" t="s">
        <v>257</v>
      </c>
      <c r="D58" s="315"/>
      <c r="E58" s="75" t="s">
        <v>87</v>
      </c>
      <c r="F58" s="75" t="s">
        <v>87</v>
      </c>
      <c r="G58" s="75" t="s">
        <v>87</v>
      </c>
      <c r="H58" s="67">
        <f>SUM(H59:H59)</f>
        <v>0</v>
      </c>
      <c r="I58" s="67">
        <f>SUM(I59:I59)</f>
        <v>0</v>
      </c>
      <c r="J58" s="67">
        <f>SUM(J59:J59)</f>
        <v>0</v>
      </c>
      <c r="K58" s="71" t="s">
        <v>129</v>
      </c>
      <c r="L58" s="67">
        <f>SUM(L59:L59)</f>
        <v>0</v>
      </c>
      <c r="M58" s="106" t="s">
        <v>129</v>
      </c>
      <c r="AG58" s="71" t="s">
        <v>129</v>
      </c>
      <c r="AQ58" s="67">
        <f>SUM(AH59:AH59)</f>
        <v>0</v>
      </c>
      <c r="AR58" s="67">
        <f>SUM(AI59:AI59)</f>
        <v>0</v>
      </c>
      <c r="AS58" s="67">
        <f>SUM(AJ59:AJ59)</f>
        <v>0</v>
      </c>
    </row>
    <row r="59" spans="1:74" x14ac:dyDescent="0.25">
      <c r="A59" s="92" t="s">
        <v>232</v>
      </c>
      <c r="B59" s="69" t="s">
        <v>259</v>
      </c>
      <c r="C59" s="306" t="s">
        <v>260</v>
      </c>
      <c r="D59" s="307"/>
      <c r="E59" s="69" t="s">
        <v>177</v>
      </c>
      <c r="F59" s="77">
        <v>3.67</v>
      </c>
      <c r="G59" s="218">
        <v>0</v>
      </c>
      <c r="H59" s="77">
        <f>F59*AM59</f>
        <v>0</v>
      </c>
      <c r="I59" s="77">
        <f>F59*AN59</f>
        <v>0</v>
      </c>
      <c r="J59" s="77">
        <f>F59*G59</f>
        <v>0</v>
      </c>
      <c r="K59" s="77">
        <v>0</v>
      </c>
      <c r="L59" s="77">
        <f>F59*K59</f>
        <v>0</v>
      </c>
      <c r="M59" s="103" t="s">
        <v>35</v>
      </c>
      <c r="X59" s="77">
        <f>IF(AO59="5",BH59,0)</f>
        <v>0</v>
      </c>
      <c r="Z59" s="77">
        <f>IF(AO59="1",BF59,0)</f>
        <v>0</v>
      </c>
      <c r="AA59" s="77">
        <f>IF(AO59="1",BG59,0)</f>
        <v>0</v>
      </c>
      <c r="AB59" s="77">
        <f>IF(AO59="7",BF59,0)</f>
        <v>0</v>
      </c>
      <c r="AC59" s="77">
        <f>IF(AO59="7",BG59,0)</f>
        <v>0</v>
      </c>
      <c r="AD59" s="77">
        <f>IF(AO59="2",BF59,0)</f>
        <v>0</v>
      </c>
      <c r="AE59" s="77">
        <f>IF(AO59="2",BG59,0)</f>
        <v>0</v>
      </c>
      <c r="AF59" s="77">
        <f>IF(AO59="0",BH59,0)</f>
        <v>0</v>
      </c>
      <c r="AG59" s="71" t="s">
        <v>129</v>
      </c>
      <c r="AH59" s="77">
        <f>IF(AL59=0,J59,0)</f>
        <v>0</v>
      </c>
      <c r="AI59" s="77">
        <f>IF(AL59=15,J59,0)</f>
        <v>0</v>
      </c>
      <c r="AJ59" s="77">
        <f>IF(AL59=21,J59,0)</f>
        <v>0</v>
      </c>
      <c r="AL59" s="77">
        <v>15</v>
      </c>
      <c r="AM59" s="77">
        <f>G59*0</f>
        <v>0</v>
      </c>
      <c r="AN59" s="77">
        <f>G59*(1-0)</f>
        <v>0</v>
      </c>
      <c r="AO59" s="79" t="s">
        <v>132</v>
      </c>
      <c r="AT59" s="77">
        <f>AU59+AV59</f>
        <v>0</v>
      </c>
      <c r="AU59" s="77">
        <f>F59*AM59</f>
        <v>0</v>
      </c>
      <c r="AV59" s="77">
        <f>F59*AN59</f>
        <v>0</v>
      </c>
      <c r="AW59" s="79" t="s">
        <v>261</v>
      </c>
      <c r="AX59" s="79" t="s">
        <v>147</v>
      </c>
      <c r="AY59" s="71" t="s">
        <v>137</v>
      </c>
      <c r="BA59" s="77">
        <f>AU59+AV59</f>
        <v>0</v>
      </c>
      <c r="BB59" s="77">
        <f>G59/(100-BC59)*100</f>
        <v>0</v>
      </c>
      <c r="BC59" s="77">
        <v>0</v>
      </c>
      <c r="BD59" s="77">
        <f>L59</f>
        <v>0</v>
      </c>
      <c r="BF59" s="77">
        <f>F59*AM59</f>
        <v>0</v>
      </c>
      <c r="BG59" s="77">
        <f>F59*AN59</f>
        <v>0</v>
      </c>
      <c r="BH59" s="77">
        <f>F59*G59</f>
        <v>0</v>
      </c>
      <c r="BI59" s="77"/>
      <c r="BJ59" s="77">
        <v>19</v>
      </c>
      <c r="BU59" s="77" t="e">
        <f>#REF!</f>
        <v>#REF!</v>
      </c>
      <c r="BV59" s="70" t="s">
        <v>260</v>
      </c>
    </row>
    <row r="60" spans="1:74" ht="13.5" customHeight="1" x14ac:dyDescent="0.25">
      <c r="A60" s="104"/>
      <c r="B60" s="81" t="s">
        <v>138</v>
      </c>
      <c r="C60" s="303" t="s">
        <v>515</v>
      </c>
      <c r="D60" s="304"/>
      <c r="E60" s="304"/>
      <c r="F60" s="304"/>
      <c r="G60" s="304"/>
      <c r="H60" s="304"/>
      <c r="I60" s="304"/>
      <c r="J60" s="304"/>
      <c r="K60" s="304"/>
      <c r="L60" s="304"/>
      <c r="M60" s="305"/>
    </row>
    <row r="61" spans="1:74" x14ac:dyDescent="0.25">
      <c r="A61" s="105" t="s">
        <v>129</v>
      </c>
      <c r="B61" s="74" t="s">
        <v>232</v>
      </c>
      <c r="C61" s="314" t="s">
        <v>267</v>
      </c>
      <c r="D61" s="315"/>
      <c r="E61" s="75" t="s">
        <v>87</v>
      </c>
      <c r="F61" s="75" t="s">
        <v>87</v>
      </c>
      <c r="G61" s="75" t="s">
        <v>87</v>
      </c>
      <c r="H61" s="67">
        <f>SUM(H62:H62)</f>
        <v>0</v>
      </c>
      <c r="I61" s="67">
        <f>SUM(I62:I62)</f>
        <v>0</v>
      </c>
      <c r="J61" s="67">
        <f>SUM(J62:J62)</f>
        <v>0</v>
      </c>
      <c r="K61" s="71" t="s">
        <v>129</v>
      </c>
      <c r="L61" s="67">
        <f>SUM(L62:L62)</f>
        <v>0</v>
      </c>
      <c r="M61" s="106" t="s">
        <v>129</v>
      </c>
      <c r="AG61" s="71" t="s">
        <v>129</v>
      </c>
      <c r="AQ61" s="67">
        <f>SUM(AH62:AH62)</f>
        <v>0</v>
      </c>
      <c r="AR61" s="67">
        <f>SUM(AI62:AI62)</f>
        <v>0</v>
      </c>
      <c r="AS61" s="67">
        <f>SUM(AJ62:AJ62)</f>
        <v>0</v>
      </c>
    </row>
    <row r="62" spans="1:74" x14ac:dyDescent="0.25">
      <c r="A62" s="92" t="s">
        <v>236</v>
      </c>
      <c r="B62" s="69" t="s">
        <v>927</v>
      </c>
      <c r="C62" s="306" t="s">
        <v>270</v>
      </c>
      <c r="D62" s="307"/>
      <c r="E62" s="69" t="s">
        <v>166</v>
      </c>
      <c r="F62" s="77">
        <v>5.81</v>
      </c>
      <c r="G62" s="218">
        <v>0</v>
      </c>
      <c r="H62" s="77">
        <f>F62*AM62</f>
        <v>0</v>
      </c>
      <c r="I62" s="77">
        <f>F62*AN62</f>
        <v>0</v>
      </c>
      <c r="J62" s="77">
        <f>F62*G62</f>
        <v>0</v>
      </c>
      <c r="K62" s="77">
        <v>0</v>
      </c>
      <c r="L62" s="77">
        <f>F62*K62</f>
        <v>0</v>
      </c>
      <c r="M62" s="103" t="s">
        <v>35</v>
      </c>
      <c r="X62" s="77">
        <f>IF(AO62="5",BH62,0)</f>
        <v>0</v>
      </c>
      <c r="Z62" s="77">
        <f>IF(AO62="1",BF62,0)</f>
        <v>0</v>
      </c>
      <c r="AA62" s="77">
        <f>IF(AO62="1",BG62,0)</f>
        <v>0</v>
      </c>
      <c r="AB62" s="77">
        <f>IF(AO62="7",BF62,0)</f>
        <v>0</v>
      </c>
      <c r="AC62" s="77">
        <f>IF(AO62="7",BG62,0)</f>
        <v>0</v>
      </c>
      <c r="AD62" s="77">
        <f>IF(AO62="2",BF62,0)</f>
        <v>0</v>
      </c>
      <c r="AE62" s="77">
        <f>IF(AO62="2",BG62,0)</f>
        <v>0</v>
      </c>
      <c r="AF62" s="77">
        <f>IF(AO62="0",BH62,0)</f>
        <v>0</v>
      </c>
      <c r="AG62" s="71" t="s">
        <v>129</v>
      </c>
      <c r="AH62" s="77">
        <f>IF(AL62=0,J62,0)</f>
        <v>0</v>
      </c>
      <c r="AI62" s="77">
        <f>IF(AL62=15,J62,0)</f>
        <v>0</v>
      </c>
      <c r="AJ62" s="77">
        <f>IF(AL62=21,J62,0)</f>
        <v>0</v>
      </c>
      <c r="AL62" s="77">
        <v>15</v>
      </c>
      <c r="AM62" s="77">
        <f>G62*0</f>
        <v>0</v>
      </c>
      <c r="AN62" s="77">
        <f>G62*(1-0)</f>
        <v>0</v>
      </c>
      <c r="AO62" s="79" t="s">
        <v>132</v>
      </c>
      <c r="AT62" s="77">
        <f>AU62+AV62</f>
        <v>0</v>
      </c>
      <c r="AU62" s="77">
        <f>F62*AM62</f>
        <v>0</v>
      </c>
      <c r="AV62" s="77">
        <f>F62*AN62</f>
        <v>0</v>
      </c>
      <c r="AW62" s="79" t="s">
        <v>271</v>
      </c>
      <c r="AX62" s="79" t="s">
        <v>272</v>
      </c>
      <c r="AY62" s="71" t="s">
        <v>137</v>
      </c>
      <c r="BA62" s="77">
        <f>AU62+AV62</f>
        <v>0</v>
      </c>
      <c r="BB62" s="77">
        <f>G62/(100-BC62)*100</f>
        <v>0</v>
      </c>
      <c r="BC62" s="77">
        <v>0</v>
      </c>
      <c r="BD62" s="77">
        <f>L62</f>
        <v>0</v>
      </c>
      <c r="BF62" s="77">
        <f>F62*AM62</f>
        <v>0</v>
      </c>
      <c r="BG62" s="77">
        <f>F62*AN62</f>
        <v>0</v>
      </c>
      <c r="BH62" s="77">
        <f>F62*G62</f>
        <v>0</v>
      </c>
      <c r="BI62" s="77"/>
      <c r="BJ62" s="77">
        <v>21</v>
      </c>
      <c r="BU62" s="77" t="e">
        <f>#REF!</f>
        <v>#REF!</v>
      </c>
      <c r="BV62" s="70" t="s">
        <v>270</v>
      </c>
    </row>
    <row r="63" spans="1:74" ht="40.5" customHeight="1" x14ac:dyDescent="0.25">
      <c r="A63" s="104"/>
      <c r="B63" s="81" t="s">
        <v>138</v>
      </c>
      <c r="C63" s="303" t="s">
        <v>977</v>
      </c>
      <c r="D63" s="304"/>
      <c r="E63" s="304"/>
      <c r="F63" s="304"/>
      <c r="G63" s="304"/>
      <c r="H63" s="304"/>
      <c r="I63" s="304"/>
      <c r="J63" s="304"/>
      <c r="K63" s="304"/>
      <c r="L63" s="304"/>
      <c r="M63" s="305"/>
    </row>
    <row r="64" spans="1:74" x14ac:dyDescent="0.25">
      <c r="A64" s="105" t="s">
        <v>129</v>
      </c>
      <c r="B64" s="74" t="s">
        <v>288</v>
      </c>
      <c r="C64" s="314" t="s">
        <v>289</v>
      </c>
      <c r="D64" s="315"/>
      <c r="E64" s="75" t="s">
        <v>87</v>
      </c>
      <c r="F64" s="75" t="s">
        <v>87</v>
      </c>
      <c r="G64" s="75" t="s">
        <v>87</v>
      </c>
      <c r="H64" s="67">
        <f>SUM(H65:H65)</f>
        <v>0</v>
      </c>
      <c r="I64" s="67">
        <f>SUM(I65:I65)</f>
        <v>0</v>
      </c>
      <c r="J64" s="67">
        <f>SUM(J65:J65)</f>
        <v>0</v>
      </c>
      <c r="K64" s="71" t="s">
        <v>129</v>
      </c>
      <c r="L64" s="67">
        <f>SUM(L65:L65)</f>
        <v>1.6449699</v>
      </c>
      <c r="M64" s="106" t="s">
        <v>129</v>
      </c>
      <c r="AG64" s="71" t="s">
        <v>129</v>
      </c>
      <c r="AQ64" s="67">
        <f>SUM(AH65:AH65)</f>
        <v>0</v>
      </c>
      <c r="AR64" s="67">
        <f>SUM(AI65:AI65)</f>
        <v>0</v>
      </c>
      <c r="AS64" s="67">
        <f>SUM(AJ65:AJ65)</f>
        <v>0</v>
      </c>
    </row>
    <row r="65" spans="1:74" x14ac:dyDescent="0.25">
      <c r="A65" s="92" t="s">
        <v>240</v>
      </c>
      <c r="B65" s="69" t="s">
        <v>291</v>
      </c>
      <c r="C65" s="306" t="s">
        <v>524</v>
      </c>
      <c r="D65" s="307"/>
      <c r="E65" s="69" t="s">
        <v>177</v>
      </c>
      <c r="F65" s="77">
        <v>0.87</v>
      </c>
      <c r="G65" s="218">
        <v>0</v>
      </c>
      <c r="H65" s="77">
        <f>F65*AM65</f>
        <v>0</v>
      </c>
      <c r="I65" s="77">
        <f>F65*AN65</f>
        <v>0</v>
      </c>
      <c r="J65" s="77">
        <f>F65*G65</f>
        <v>0</v>
      </c>
      <c r="K65" s="77">
        <v>1.8907700000000001</v>
      </c>
      <c r="L65" s="77">
        <f>F65*K65</f>
        <v>1.6449699</v>
      </c>
      <c r="M65" s="103" t="s">
        <v>35</v>
      </c>
      <c r="X65" s="77">
        <f>IF(AO65="5",BH65,0)</f>
        <v>0</v>
      </c>
      <c r="Z65" s="77">
        <f>IF(AO65="1",BF65,0)</f>
        <v>0</v>
      </c>
      <c r="AA65" s="77">
        <f>IF(AO65="1",BG65,0)</f>
        <v>0</v>
      </c>
      <c r="AB65" s="77">
        <f>IF(AO65="7",BF65,0)</f>
        <v>0</v>
      </c>
      <c r="AC65" s="77">
        <f>IF(AO65="7",BG65,0)</f>
        <v>0</v>
      </c>
      <c r="AD65" s="77">
        <f>IF(AO65="2",BF65,0)</f>
        <v>0</v>
      </c>
      <c r="AE65" s="77">
        <f>IF(AO65="2",BG65,0)</f>
        <v>0</v>
      </c>
      <c r="AF65" s="77">
        <f>IF(AO65="0",BH65,0)</f>
        <v>0</v>
      </c>
      <c r="AG65" s="71" t="s">
        <v>129</v>
      </c>
      <c r="AH65" s="77">
        <f>IF(AL65=0,J65,0)</f>
        <v>0</v>
      </c>
      <c r="AI65" s="77">
        <f>IF(AL65=15,J65,0)</f>
        <v>0</v>
      </c>
      <c r="AJ65" s="77">
        <f>IF(AL65=21,J65,0)</f>
        <v>0</v>
      </c>
      <c r="AL65" s="77">
        <v>15</v>
      </c>
      <c r="AM65" s="77">
        <f>G65*0.487563931</f>
        <v>0</v>
      </c>
      <c r="AN65" s="77">
        <f>G65*(1-0.487563931)</f>
        <v>0</v>
      </c>
      <c r="AO65" s="79" t="s">
        <v>132</v>
      </c>
      <c r="AT65" s="77">
        <f>AU65+AV65</f>
        <v>0</v>
      </c>
      <c r="AU65" s="77">
        <f>F65*AM65</f>
        <v>0</v>
      </c>
      <c r="AV65" s="77">
        <f>F65*AN65</f>
        <v>0</v>
      </c>
      <c r="AW65" s="79" t="s">
        <v>293</v>
      </c>
      <c r="AX65" s="79" t="s">
        <v>294</v>
      </c>
      <c r="AY65" s="71" t="s">
        <v>137</v>
      </c>
      <c r="BA65" s="77">
        <f>AU65+AV65</f>
        <v>0</v>
      </c>
      <c r="BB65" s="77">
        <f>G65/(100-BC65)*100</f>
        <v>0</v>
      </c>
      <c r="BC65" s="77">
        <v>0</v>
      </c>
      <c r="BD65" s="77">
        <f>L65</f>
        <v>1.6449699</v>
      </c>
      <c r="BF65" s="77">
        <f>F65*AM65</f>
        <v>0</v>
      </c>
      <c r="BG65" s="77">
        <f>F65*AN65</f>
        <v>0</v>
      </c>
      <c r="BH65" s="77">
        <f>F65*G65</f>
        <v>0</v>
      </c>
      <c r="BI65" s="77"/>
      <c r="BJ65" s="77">
        <v>45</v>
      </c>
      <c r="BU65" s="77" t="e">
        <f>#REF!</f>
        <v>#REF!</v>
      </c>
      <c r="BV65" s="70" t="s">
        <v>524</v>
      </c>
    </row>
    <row r="66" spans="1:74" ht="67.5" customHeight="1" x14ac:dyDescent="0.25">
      <c r="A66" s="104"/>
      <c r="B66" s="81" t="s">
        <v>138</v>
      </c>
      <c r="C66" s="303" t="s">
        <v>978</v>
      </c>
      <c r="D66" s="304"/>
      <c r="E66" s="304"/>
      <c r="F66" s="304"/>
      <c r="G66" s="304"/>
      <c r="H66" s="304"/>
      <c r="I66" s="304"/>
      <c r="J66" s="304"/>
      <c r="K66" s="304"/>
      <c r="L66" s="304"/>
      <c r="M66" s="305"/>
    </row>
    <row r="67" spans="1:74" x14ac:dyDescent="0.25">
      <c r="A67" s="105" t="s">
        <v>129</v>
      </c>
      <c r="B67" s="74" t="s">
        <v>296</v>
      </c>
      <c r="C67" s="314" t="s">
        <v>297</v>
      </c>
      <c r="D67" s="315"/>
      <c r="E67" s="75" t="s">
        <v>87</v>
      </c>
      <c r="F67" s="75" t="s">
        <v>87</v>
      </c>
      <c r="G67" s="75" t="s">
        <v>87</v>
      </c>
      <c r="H67" s="67">
        <f>SUM(H68:H74)</f>
        <v>0</v>
      </c>
      <c r="I67" s="67">
        <f>SUM(I68:I74)</f>
        <v>0</v>
      </c>
      <c r="J67" s="67">
        <f>SUM(J68:J74)</f>
        <v>0</v>
      </c>
      <c r="K67" s="71" t="s">
        <v>129</v>
      </c>
      <c r="L67" s="67">
        <f>SUM(L68:L74)</f>
        <v>9.7693904000000007</v>
      </c>
      <c r="M67" s="106" t="s">
        <v>129</v>
      </c>
      <c r="AG67" s="71" t="s">
        <v>129</v>
      </c>
      <c r="AQ67" s="67">
        <f>SUM(AH68:AH74)</f>
        <v>0</v>
      </c>
      <c r="AR67" s="67">
        <f>SUM(AI68:AI74)</f>
        <v>0</v>
      </c>
      <c r="AS67" s="67">
        <f>SUM(AJ68:AJ74)</f>
        <v>0</v>
      </c>
    </row>
    <row r="68" spans="1:74" x14ac:dyDescent="0.25">
      <c r="A68" s="92" t="s">
        <v>245</v>
      </c>
      <c r="B68" s="69" t="s">
        <v>299</v>
      </c>
      <c r="C68" s="306" t="s">
        <v>300</v>
      </c>
      <c r="D68" s="307"/>
      <c r="E68" s="69" t="s">
        <v>166</v>
      </c>
      <c r="F68" s="77">
        <v>5.26</v>
      </c>
      <c r="G68" s="218">
        <v>0</v>
      </c>
      <c r="H68" s="77">
        <f>F68*AM68</f>
        <v>0</v>
      </c>
      <c r="I68" s="77">
        <f>F68*AN68</f>
        <v>0</v>
      </c>
      <c r="J68" s="77">
        <f>F68*G68</f>
        <v>0</v>
      </c>
      <c r="K68" s="77">
        <v>0.46</v>
      </c>
      <c r="L68" s="77">
        <f>F68*K68</f>
        <v>2.4196</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G68*0.854811853</f>
        <v>0</v>
      </c>
      <c r="AN68" s="77">
        <f>G68*(1-0.854811853)</f>
        <v>0</v>
      </c>
      <c r="AO68" s="79" t="s">
        <v>132</v>
      </c>
      <c r="AT68" s="77">
        <f>AU68+AV68</f>
        <v>0</v>
      </c>
      <c r="AU68" s="77">
        <f>F68*AM68</f>
        <v>0</v>
      </c>
      <c r="AV68" s="77">
        <f>F68*AN68</f>
        <v>0</v>
      </c>
      <c r="AW68" s="79" t="s">
        <v>301</v>
      </c>
      <c r="AX68" s="79" t="s">
        <v>302</v>
      </c>
      <c r="AY68" s="71" t="s">
        <v>137</v>
      </c>
      <c r="BA68" s="77">
        <f>AU68+AV68</f>
        <v>0</v>
      </c>
      <c r="BB68" s="77">
        <f>G68/(100-BC68)*100</f>
        <v>0</v>
      </c>
      <c r="BC68" s="77">
        <v>0</v>
      </c>
      <c r="BD68" s="77">
        <f>L68</f>
        <v>2.4196</v>
      </c>
      <c r="BF68" s="77">
        <f>F68*AM68</f>
        <v>0</v>
      </c>
      <c r="BG68" s="77">
        <f>F68*AN68</f>
        <v>0</v>
      </c>
      <c r="BH68" s="77">
        <f>F68*G68</f>
        <v>0</v>
      </c>
      <c r="BI68" s="77"/>
      <c r="BJ68" s="77">
        <v>56</v>
      </c>
      <c r="BU68" s="77" t="e">
        <f>#REF!</f>
        <v>#REF!</v>
      </c>
      <c r="BV68" s="70" t="s">
        <v>300</v>
      </c>
    </row>
    <row r="69" spans="1:74" ht="40.5" customHeight="1" x14ac:dyDescent="0.25">
      <c r="A69" s="104"/>
      <c r="B69" s="81" t="s">
        <v>138</v>
      </c>
      <c r="C69" s="303" t="s">
        <v>979</v>
      </c>
      <c r="D69" s="304"/>
      <c r="E69" s="304"/>
      <c r="F69" s="304"/>
      <c r="G69" s="304"/>
      <c r="H69" s="304"/>
      <c r="I69" s="304"/>
      <c r="J69" s="304"/>
      <c r="K69" s="304"/>
      <c r="L69" s="304"/>
      <c r="M69" s="305"/>
    </row>
    <row r="70" spans="1:74" x14ac:dyDescent="0.25">
      <c r="A70" s="92" t="s">
        <v>250</v>
      </c>
      <c r="B70" s="69" t="s">
        <v>305</v>
      </c>
      <c r="C70" s="306" t="s">
        <v>306</v>
      </c>
      <c r="D70" s="307"/>
      <c r="E70" s="69" t="s">
        <v>166</v>
      </c>
      <c r="F70" s="77">
        <v>5.48</v>
      </c>
      <c r="G70" s="218">
        <v>0</v>
      </c>
      <c r="H70" s="77">
        <f>F70*AM70</f>
        <v>0</v>
      </c>
      <c r="I70" s="77">
        <f>F70*AN70</f>
        <v>0</v>
      </c>
      <c r="J70" s="77">
        <f>F70*G70</f>
        <v>0</v>
      </c>
      <c r="K70" s="77">
        <v>0.48574000000000001</v>
      </c>
      <c r="L70" s="77">
        <f>F70*K70</f>
        <v>2.6618552000000002</v>
      </c>
      <c r="M70" s="103" t="s">
        <v>35</v>
      </c>
      <c r="X70" s="77">
        <f>IF(AO70="5",BH70,0)</f>
        <v>0</v>
      </c>
      <c r="Z70" s="77">
        <f>IF(AO70="1",BF70,0)</f>
        <v>0</v>
      </c>
      <c r="AA70" s="77">
        <f>IF(AO70="1",BG70,0)</f>
        <v>0</v>
      </c>
      <c r="AB70" s="77">
        <f>IF(AO70="7",BF70,0)</f>
        <v>0</v>
      </c>
      <c r="AC70" s="77">
        <f>IF(AO70="7",BG70,0)</f>
        <v>0</v>
      </c>
      <c r="AD70" s="77">
        <f>IF(AO70="2",BF70,0)</f>
        <v>0</v>
      </c>
      <c r="AE70" s="77">
        <f>IF(AO70="2",BG70,0)</f>
        <v>0</v>
      </c>
      <c r="AF70" s="77">
        <f>IF(AO70="0",BH70,0)</f>
        <v>0</v>
      </c>
      <c r="AG70" s="71" t="s">
        <v>129</v>
      </c>
      <c r="AH70" s="77">
        <f>IF(AL70=0,J70,0)</f>
        <v>0</v>
      </c>
      <c r="AI70" s="77">
        <f>IF(AL70=15,J70,0)</f>
        <v>0</v>
      </c>
      <c r="AJ70" s="77">
        <f>IF(AL70=21,J70,0)</f>
        <v>0</v>
      </c>
      <c r="AL70" s="77">
        <v>15</v>
      </c>
      <c r="AM70" s="77">
        <f>G70*0.813430365</f>
        <v>0</v>
      </c>
      <c r="AN70" s="77">
        <f>G70*(1-0.813430365)</f>
        <v>0</v>
      </c>
      <c r="AO70" s="79" t="s">
        <v>132</v>
      </c>
      <c r="AT70" s="77">
        <f>AU70+AV70</f>
        <v>0</v>
      </c>
      <c r="AU70" s="77">
        <f>F70*AM70</f>
        <v>0</v>
      </c>
      <c r="AV70" s="77">
        <f>F70*AN70</f>
        <v>0</v>
      </c>
      <c r="AW70" s="79" t="s">
        <v>301</v>
      </c>
      <c r="AX70" s="79" t="s">
        <v>302</v>
      </c>
      <c r="AY70" s="71" t="s">
        <v>137</v>
      </c>
      <c r="BA70" s="77">
        <f>AU70+AV70</f>
        <v>0</v>
      </c>
      <c r="BB70" s="77">
        <f>G70/(100-BC70)*100</f>
        <v>0</v>
      </c>
      <c r="BC70" s="77">
        <v>0</v>
      </c>
      <c r="BD70" s="77">
        <f>L70</f>
        <v>2.6618552000000002</v>
      </c>
      <c r="BF70" s="77">
        <f>F70*AM70</f>
        <v>0</v>
      </c>
      <c r="BG70" s="77">
        <f>F70*AN70</f>
        <v>0</v>
      </c>
      <c r="BH70" s="77">
        <f>F70*G70</f>
        <v>0</v>
      </c>
      <c r="BI70" s="77"/>
      <c r="BJ70" s="77">
        <v>56</v>
      </c>
      <c r="BU70" s="77" t="e">
        <f>#REF!</f>
        <v>#REF!</v>
      </c>
      <c r="BV70" s="70" t="s">
        <v>306</v>
      </c>
    </row>
    <row r="71" spans="1:74" ht="40.5" customHeight="1" x14ac:dyDescent="0.25">
      <c r="A71" s="104"/>
      <c r="B71" s="81" t="s">
        <v>138</v>
      </c>
      <c r="C71" s="303" t="s">
        <v>980</v>
      </c>
      <c r="D71" s="304"/>
      <c r="E71" s="304"/>
      <c r="F71" s="304"/>
      <c r="G71" s="304"/>
      <c r="H71" s="304"/>
      <c r="I71" s="304"/>
      <c r="J71" s="304"/>
      <c r="K71" s="304"/>
      <c r="L71" s="304"/>
      <c r="M71" s="305"/>
    </row>
    <row r="72" spans="1:74" x14ac:dyDescent="0.25">
      <c r="A72" s="92" t="s">
        <v>253</v>
      </c>
      <c r="B72" s="69" t="s">
        <v>305</v>
      </c>
      <c r="C72" s="306" t="s">
        <v>306</v>
      </c>
      <c r="D72" s="307"/>
      <c r="E72" s="69" t="s">
        <v>166</v>
      </c>
      <c r="F72" s="77">
        <v>5.48</v>
      </c>
      <c r="G72" s="218">
        <v>0</v>
      </c>
      <c r="H72" s="77">
        <f>F72*AM72</f>
        <v>0</v>
      </c>
      <c r="I72" s="77">
        <f>F72*AN72</f>
        <v>0</v>
      </c>
      <c r="J72" s="77">
        <f>F72*G72</f>
        <v>0</v>
      </c>
      <c r="K72" s="77">
        <v>0.48574000000000001</v>
      </c>
      <c r="L72" s="77">
        <f>F72*K72</f>
        <v>2.6618552000000002</v>
      </c>
      <c r="M72" s="103" t="s">
        <v>35</v>
      </c>
      <c r="X72" s="77">
        <f>IF(AO72="5",BH72,0)</f>
        <v>0</v>
      </c>
      <c r="Z72" s="77">
        <f>IF(AO72="1",BF72,0)</f>
        <v>0</v>
      </c>
      <c r="AA72" s="77">
        <f>IF(AO72="1",BG72,0)</f>
        <v>0</v>
      </c>
      <c r="AB72" s="77">
        <f>IF(AO72="7",BF72,0)</f>
        <v>0</v>
      </c>
      <c r="AC72" s="77">
        <f>IF(AO72="7",BG72,0)</f>
        <v>0</v>
      </c>
      <c r="AD72" s="77">
        <f>IF(AO72="2",BF72,0)</f>
        <v>0</v>
      </c>
      <c r="AE72" s="77">
        <f>IF(AO72="2",BG72,0)</f>
        <v>0</v>
      </c>
      <c r="AF72" s="77">
        <f>IF(AO72="0",BH72,0)</f>
        <v>0</v>
      </c>
      <c r="AG72" s="71" t="s">
        <v>129</v>
      </c>
      <c r="AH72" s="77">
        <f>IF(AL72=0,J72,0)</f>
        <v>0</v>
      </c>
      <c r="AI72" s="77">
        <f>IF(AL72=15,J72,0)</f>
        <v>0</v>
      </c>
      <c r="AJ72" s="77">
        <f>IF(AL72=21,J72,0)</f>
        <v>0</v>
      </c>
      <c r="AL72" s="77">
        <v>15</v>
      </c>
      <c r="AM72" s="77">
        <f>G72*0.813430365</f>
        <v>0</v>
      </c>
      <c r="AN72" s="77">
        <f>G72*(1-0.813430365)</f>
        <v>0</v>
      </c>
      <c r="AO72" s="79" t="s">
        <v>132</v>
      </c>
      <c r="AT72" s="77">
        <f>AU72+AV72</f>
        <v>0</v>
      </c>
      <c r="AU72" s="77">
        <f>F72*AM72</f>
        <v>0</v>
      </c>
      <c r="AV72" s="77">
        <f>F72*AN72</f>
        <v>0</v>
      </c>
      <c r="AW72" s="79" t="s">
        <v>301</v>
      </c>
      <c r="AX72" s="79" t="s">
        <v>302</v>
      </c>
      <c r="AY72" s="71" t="s">
        <v>137</v>
      </c>
      <c r="BA72" s="77">
        <f>AU72+AV72</f>
        <v>0</v>
      </c>
      <c r="BB72" s="77">
        <f>G72/(100-BC72)*100</f>
        <v>0</v>
      </c>
      <c r="BC72" s="77">
        <v>0</v>
      </c>
      <c r="BD72" s="77">
        <f>L72</f>
        <v>2.6618552000000002</v>
      </c>
      <c r="BF72" s="77">
        <f>F72*AM72</f>
        <v>0</v>
      </c>
      <c r="BG72" s="77">
        <f>F72*AN72</f>
        <v>0</v>
      </c>
      <c r="BH72" s="77">
        <f>F72*G72</f>
        <v>0</v>
      </c>
      <c r="BI72" s="77"/>
      <c r="BJ72" s="77">
        <v>56</v>
      </c>
      <c r="BU72" s="77" t="e">
        <f>#REF!</f>
        <v>#REF!</v>
      </c>
      <c r="BV72" s="70" t="s">
        <v>306</v>
      </c>
    </row>
    <row r="73" spans="1:74" ht="40.5" customHeight="1" x14ac:dyDescent="0.25">
      <c r="A73" s="104"/>
      <c r="B73" s="81" t="s">
        <v>138</v>
      </c>
      <c r="C73" s="303" t="s">
        <v>980</v>
      </c>
      <c r="D73" s="304"/>
      <c r="E73" s="304"/>
      <c r="F73" s="304"/>
      <c r="G73" s="304"/>
      <c r="H73" s="304"/>
      <c r="I73" s="304"/>
      <c r="J73" s="304"/>
      <c r="K73" s="304"/>
      <c r="L73" s="304"/>
      <c r="M73" s="305"/>
    </row>
    <row r="74" spans="1:74" x14ac:dyDescent="0.25">
      <c r="A74" s="92" t="s">
        <v>258</v>
      </c>
      <c r="B74" s="69" t="s">
        <v>311</v>
      </c>
      <c r="C74" s="306" t="s">
        <v>312</v>
      </c>
      <c r="D74" s="307"/>
      <c r="E74" s="69" t="s">
        <v>166</v>
      </c>
      <c r="F74" s="77">
        <v>5.36</v>
      </c>
      <c r="G74" s="218">
        <v>0</v>
      </c>
      <c r="H74" s="77">
        <f>F74*AM74</f>
        <v>0</v>
      </c>
      <c r="I74" s="77">
        <f>F74*AN74</f>
        <v>0</v>
      </c>
      <c r="J74" s="77">
        <f>F74*G74</f>
        <v>0</v>
      </c>
      <c r="K74" s="77">
        <v>0.378</v>
      </c>
      <c r="L74" s="77">
        <f>F74*K74</f>
        <v>2.0260800000000003</v>
      </c>
      <c r="M74" s="103" t="s">
        <v>35</v>
      </c>
      <c r="X74" s="77">
        <f>IF(AO74="5",BH74,0)</f>
        <v>0</v>
      </c>
      <c r="Z74" s="77">
        <f>IF(AO74="1",BF74,0)</f>
        <v>0</v>
      </c>
      <c r="AA74" s="77">
        <f>IF(AO74="1",BG74,0)</f>
        <v>0</v>
      </c>
      <c r="AB74" s="77">
        <f>IF(AO74="7",BF74,0)</f>
        <v>0</v>
      </c>
      <c r="AC74" s="77">
        <f>IF(AO74="7",BG74,0)</f>
        <v>0</v>
      </c>
      <c r="AD74" s="77">
        <f>IF(AO74="2",BF74,0)</f>
        <v>0</v>
      </c>
      <c r="AE74" s="77">
        <f>IF(AO74="2",BG74,0)</f>
        <v>0</v>
      </c>
      <c r="AF74" s="77">
        <f>IF(AO74="0",BH74,0)</f>
        <v>0</v>
      </c>
      <c r="AG74" s="71" t="s">
        <v>129</v>
      </c>
      <c r="AH74" s="77">
        <f>IF(AL74=0,J74,0)</f>
        <v>0</v>
      </c>
      <c r="AI74" s="77">
        <f>IF(AL74=15,J74,0)</f>
        <v>0</v>
      </c>
      <c r="AJ74" s="77">
        <f>IF(AL74=21,J74,0)</f>
        <v>0</v>
      </c>
      <c r="AL74" s="77">
        <v>15</v>
      </c>
      <c r="AM74" s="77">
        <f>G74*0.826850946</f>
        <v>0</v>
      </c>
      <c r="AN74" s="77">
        <f>G74*(1-0.826850946)</f>
        <v>0</v>
      </c>
      <c r="AO74" s="79" t="s">
        <v>132</v>
      </c>
      <c r="AT74" s="77">
        <f>AU74+AV74</f>
        <v>0</v>
      </c>
      <c r="AU74" s="77">
        <f>F74*AM74</f>
        <v>0</v>
      </c>
      <c r="AV74" s="77">
        <f>F74*AN74</f>
        <v>0</v>
      </c>
      <c r="AW74" s="79" t="s">
        <v>301</v>
      </c>
      <c r="AX74" s="79" t="s">
        <v>302</v>
      </c>
      <c r="AY74" s="71" t="s">
        <v>137</v>
      </c>
      <c r="BA74" s="77">
        <f>AU74+AV74</f>
        <v>0</v>
      </c>
      <c r="BB74" s="77">
        <f>G74/(100-BC74)*100</f>
        <v>0</v>
      </c>
      <c r="BC74" s="77">
        <v>0</v>
      </c>
      <c r="BD74" s="77">
        <f>L74</f>
        <v>2.0260800000000003</v>
      </c>
      <c r="BF74" s="77">
        <f>F74*AM74</f>
        <v>0</v>
      </c>
      <c r="BG74" s="77">
        <f>F74*AN74</f>
        <v>0</v>
      </c>
      <c r="BH74" s="77">
        <f>F74*G74</f>
        <v>0</v>
      </c>
      <c r="BI74" s="77"/>
      <c r="BJ74" s="77">
        <v>56</v>
      </c>
      <c r="BU74" s="77" t="e">
        <f>#REF!</f>
        <v>#REF!</v>
      </c>
      <c r="BV74" s="70" t="s">
        <v>312</v>
      </c>
    </row>
    <row r="75" spans="1:74" ht="40.5" customHeight="1" x14ac:dyDescent="0.25">
      <c r="A75" s="104"/>
      <c r="B75" s="81" t="s">
        <v>138</v>
      </c>
      <c r="C75" s="303" t="s">
        <v>981</v>
      </c>
      <c r="D75" s="304"/>
      <c r="E75" s="304"/>
      <c r="F75" s="304"/>
      <c r="G75" s="304"/>
      <c r="H75" s="304"/>
      <c r="I75" s="304"/>
      <c r="J75" s="304"/>
      <c r="K75" s="304"/>
      <c r="L75" s="304"/>
      <c r="M75" s="305"/>
    </row>
    <row r="76" spans="1:74" x14ac:dyDescent="0.25">
      <c r="A76" s="105" t="s">
        <v>129</v>
      </c>
      <c r="B76" s="74" t="s">
        <v>651</v>
      </c>
      <c r="C76" s="314" t="s">
        <v>935</v>
      </c>
      <c r="D76" s="315"/>
      <c r="E76" s="75" t="s">
        <v>87</v>
      </c>
      <c r="F76" s="75" t="s">
        <v>87</v>
      </c>
      <c r="G76" s="75" t="s">
        <v>87</v>
      </c>
      <c r="H76" s="67">
        <f>SUM(H77:H77)</f>
        <v>0</v>
      </c>
      <c r="I76" s="67">
        <f>SUM(I77:I77)</f>
        <v>0</v>
      </c>
      <c r="J76" s="67">
        <f>SUM(J77:J77)</f>
        <v>0</v>
      </c>
      <c r="K76" s="71" t="s">
        <v>129</v>
      </c>
      <c r="L76" s="67">
        <f>SUM(L77:L77)</f>
        <v>2.8528500000000001</v>
      </c>
      <c r="M76" s="106" t="s">
        <v>129</v>
      </c>
      <c r="AG76" s="71" t="s">
        <v>129</v>
      </c>
      <c r="AQ76" s="67">
        <f>SUM(AH77:AH77)</f>
        <v>0</v>
      </c>
      <c r="AR76" s="67">
        <f>SUM(AI77:AI77)</f>
        <v>0</v>
      </c>
      <c r="AS76" s="67">
        <f>SUM(AJ77:AJ77)</f>
        <v>0</v>
      </c>
    </row>
    <row r="77" spans="1:74" x14ac:dyDescent="0.25">
      <c r="A77" s="92" t="s">
        <v>263</v>
      </c>
      <c r="B77" s="69" t="s">
        <v>936</v>
      </c>
      <c r="C77" s="306" t="s">
        <v>937</v>
      </c>
      <c r="D77" s="307"/>
      <c r="E77" s="69" t="s">
        <v>145</v>
      </c>
      <c r="F77" s="77">
        <v>5.5</v>
      </c>
      <c r="G77" s="218">
        <v>0</v>
      </c>
      <c r="H77" s="77">
        <f>F77*AM77</f>
        <v>0</v>
      </c>
      <c r="I77" s="77">
        <f>F77*AN77</f>
        <v>0</v>
      </c>
      <c r="J77" s="77">
        <f>F77*G77</f>
        <v>0</v>
      </c>
      <c r="K77" s="77">
        <v>0.51870000000000005</v>
      </c>
      <c r="L77" s="77">
        <f>F77*K77</f>
        <v>2.8528500000000001</v>
      </c>
      <c r="M77" s="103" t="s">
        <v>35</v>
      </c>
      <c r="X77" s="77">
        <f>IF(AO77="5",BH77,0)</f>
        <v>0</v>
      </c>
      <c r="Z77" s="77">
        <f>IF(AO77="1",BF77,0)</f>
        <v>0</v>
      </c>
      <c r="AA77" s="77">
        <f>IF(AO77="1",BG77,0)</f>
        <v>0</v>
      </c>
      <c r="AB77" s="77">
        <f>IF(AO77="7",BF77,0)</f>
        <v>0</v>
      </c>
      <c r="AC77" s="77">
        <f>IF(AO77="7",BG77,0)</f>
        <v>0</v>
      </c>
      <c r="AD77" s="77">
        <f>IF(AO77="2",BF77,0)</f>
        <v>0</v>
      </c>
      <c r="AE77" s="77">
        <f>IF(AO77="2",BG77,0)</f>
        <v>0</v>
      </c>
      <c r="AF77" s="77">
        <f>IF(AO77="0",BH77,0)</f>
        <v>0</v>
      </c>
      <c r="AG77" s="71" t="s">
        <v>129</v>
      </c>
      <c r="AH77" s="77">
        <f>IF(AL77=0,J77,0)</f>
        <v>0</v>
      </c>
      <c r="AI77" s="77">
        <f>IF(AL77=15,J77,0)</f>
        <v>0</v>
      </c>
      <c r="AJ77" s="77">
        <f>IF(AL77=21,J77,0)</f>
        <v>0</v>
      </c>
      <c r="AL77" s="77">
        <v>15</v>
      </c>
      <c r="AM77" s="77">
        <f>G77*0.329920859</f>
        <v>0</v>
      </c>
      <c r="AN77" s="77">
        <f>G77*(1-0.329920859)</f>
        <v>0</v>
      </c>
      <c r="AO77" s="79" t="s">
        <v>132</v>
      </c>
      <c r="AT77" s="77">
        <f>AU77+AV77</f>
        <v>0</v>
      </c>
      <c r="AU77" s="77">
        <f>F77*AM77</f>
        <v>0</v>
      </c>
      <c r="AV77" s="77">
        <f>F77*AN77</f>
        <v>0</v>
      </c>
      <c r="AW77" s="79" t="s">
        <v>938</v>
      </c>
      <c r="AX77" s="79" t="s">
        <v>320</v>
      </c>
      <c r="AY77" s="71" t="s">
        <v>137</v>
      </c>
      <c r="BA77" s="77">
        <f>AU77+AV77</f>
        <v>0</v>
      </c>
      <c r="BB77" s="77">
        <f>G77/(100-BC77)*100</f>
        <v>0</v>
      </c>
      <c r="BC77" s="77">
        <v>0</v>
      </c>
      <c r="BD77" s="77">
        <f>L77</f>
        <v>2.8528500000000001</v>
      </c>
      <c r="BF77" s="77">
        <f>F77*AM77</f>
        <v>0</v>
      </c>
      <c r="BG77" s="77">
        <f>F77*AN77</f>
        <v>0</v>
      </c>
      <c r="BH77" s="77">
        <f>F77*G77</f>
        <v>0</v>
      </c>
      <c r="BI77" s="77"/>
      <c r="BJ77" s="77">
        <v>83</v>
      </c>
      <c r="BU77" s="77" t="e">
        <f>#REF!</f>
        <v>#REF!</v>
      </c>
      <c r="BV77" s="70" t="s">
        <v>937</v>
      </c>
    </row>
    <row r="78" spans="1:74" ht="121.5" customHeight="1" x14ac:dyDescent="0.25">
      <c r="A78" s="104"/>
      <c r="B78" s="81" t="s">
        <v>138</v>
      </c>
      <c r="C78" s="303" t="s">
        <v>982</v>
      </c>
      <c r="D78" s="304"/>
      <c r="E78" s="304"/>
      <c r="F78" s="304"/>
      <c r="G78" s="304"/>
      <c r="H78" s="304"/>
      <c r="I78" s="304"/>
      <c r="J78" s="304"/>
      <c r="K78" s="304"/>
      <c r="L78" s="304"/>
      <c r="M78" s="305"/>
    </row>
    <row r="79" spans="1:74" x14ac:dyDescent="0.25">
      <c r="A79" s="105" t="s">
        <v>129</v>
      </c>
      <c r="B79" s="74" t="s">
        <v>378</v>
      </c>
      <c r="C79" s="314" t="s">
        <v>379</v>
      </c>
      <c r="D79" s="315"/>
      <c r="E79" s="75" t="s">
        <v>87</v>
      </c>
      <c r="F79" s="75" t="s">
        <v>87</v>
      </c>
      <c r="G79" s="75" t="s">
        <v>87</v>
      </c>
      <c r="H79" s="67">
        <f>SUM(H80:H80)</f>
        <v>0</v>
      </c>
      <c r="I79" s="67">
        <f>SUM(I80:I80)</f>
        <v>0</v>
      </c>
      <c r="J79" s="67">
        <f>SUM(J80:J80)</f>
        <v>0</v>
      </c>
      <c r="K79" s="71" t="s">
        <v>129</v>
      </c>
      <c r="L79" s="67">
        <f>SUM(L80:L80)</f>
        <v>0</v>
      </c>
      <c r="M79" s="106" t="s">
        <v>129</v>
      </c>
      <c r="AG79" s="71" t="s">
        <v>129</v>
      </c>
      <c r="AQ79" s="67">
        <f>SUM(AH80:AH80)</f>
        <v>0</v>
      </c>
      <c r="AR79" s="67">
        <f>SUM(AI80:AI80)</f>
        <v>0</v>
      </c>
      <c r="AS79" s="67">
        <f>SUM(AJ80:AJ80)</f>
        <v>0</v>
      </c>
    </row>
    <row r="80" spans="1:74" ht="25.5" x14ac:dyDescent="0.25">
      <c r="A80" s="92" t="s">
        <v>268</v>
      </c>
      <c r="B80" s="69" t="s">
        <v>381</v>
      </c>
      <c r="C80" s="306" t="s">
        <v>382</v>
      </c>
      <c r="D80" s="307"/>
      <c r="E80" s="69" t="s">
        <v>281</v>
      </c>
      <c r="F80" s="77">
        <v>3.79</v>
      </c>
      <c r="G80" s="218">
        <v>0</v>
      </c>
      <c r="H80" s="77">
        <f>F80*AM80</f>
        <v>0</v>
      </c>
      <c r="I80" s="77">
        <f>F80*AN80</f>
        <v>0</v>
      </c>
      <c r="J80" s="77">
        <f>F80*G80</f>
        <v>0</v>
      </c>
      <c r="K80" s="77">
        <v>0</v>
      </c>
      <c r="L80" s="77">
        <f>F80*K80</f>
        <v>0</v>
      </c>
      <c r="M80" s="103" t="s">
        <v>35</v>
      </c>
      <c r="X80" s="77">
        <f>IF(AO80="5",BH80,0)</f>
        <v>0</v>
      </c>
      <c r="Z80" s="77">
        <f>IF(AO80="1",BF80,0)</f>
        <v>0</v>
      </c>
      <c r="AA80" s="77">
        <f>IF(AO80="1",BG80,0)</f>
        <v>0</v>
      </c>
      <c r="AB80" s="77">
        <f>IF(AO80="7",BF80,0)</f>
        <v>0</v>
      </c>
      <c r="AC80" s="77">
        <f>IF(AO80="7",BG80,0)</f>
        <v>0</v>
      </c>
      <c r="AD80" s="77">
        <f>IF(AO80="2",BF80,0)</f>
        <v>0</v>
      </c>
      <c r="AE80" s="77">
        <f>IF(AO80="2",BG80,0)</f>
        <v>0</v>
      </c>
      <c r="AF80" s="77">
        <f>IF(AO80="0",BH80,0)</f>
        <v>0</v>
      </c>
      <c r="AG80" s="71" t="s">
        <v>129</v>
      </c>
      <c r="AH80" s="77">
        <f>IF(AL80=0,J80,0)</f>
        <v>0</v>
      </c>
      <c r="AI80" s="77">
        <f>IF(AL80=15,J80,0)</f>
        <v>0</v>
      </c>
      <c r="AJ80" s="77">
        <f>IF(AL80=21,J80,0)</f>
        <v>0</v>
      </c>
      <c r="AL80" s="77">
        <v>15</v>
      </c>
      <c r="AM80" s="77">
        <f>G80*0</f>
        <v>0</v>
      </c>
      <c r="AN80" s="77">
        <f>G80*(1-0)</f>
        <v>0</v>
      </c>
      <c r="AO80" s="79" t="s">
        <v>132</v>
      </c>
      <c r="AT80" s="77">
        <f>AU80+AV80</f>
        <v>0</v>
      </c>
      <c r="AU80" s="77">
        <f>F80*AM80</f>
        <v>0</v>
      </c>
      <c r="AV80" s="77">
        <f>F80*AN80</f>
        <v>0</v>
      </c>
      <c r="AW80" s="79" t="s">
        <v>383</v>
      </c>
      <c r="AX80" s="79" t="s">
        <v>384</v>
      </c>
      <c r="AY80" s="71" t="s">
        <v>137</v>
      </c>
      <c r="BA80" s="77">
        <f>AU80+AV80</f>
        <v>0</v>
      </c>
      <c r="BB80" s="77">
        <f>G80/(100-BC80)*100</f>
        <v>0</v>
      </c>
      <c r="BC80" s="77">
        <v>0</v>
      </c>
      <c r="BD80" s="77">
        <f>L80</f>
        <v>0</v>
      </c>
      <c r="BF80" s="77">
        <f>F80*AM80</f>
        <v>0</v>
      </c>
      <c r="BG80" s="77">
        <f>F80*AN80</f>
        <v>0</v>
      </c>
      <c r="BH80" s="77">
        <f>F80*G80</f>
        <v>0</v>
      </c>
      <c r="BI80" s="77"/>
      <c r="BJ80" s="77">
        <v>97</v>
      </c>
      <c r="BU80" s="77" t="e">
        <f>#REF!</f>
        <v>#REF!</v>
      </c>
      <c r="BV80" s="70" t="s">
        <v>382</v>
      </c>
    </row>
    <row r="81" spans="1:74" ht="27" customHeight="1" thickBot="1" x14ac:dyDescent="0.3">
      <c r="A81" s="107"/>
      <c r="B81" s="108" t="s">
        <v>138</v>
      </c>
      <c r="C81" s="308" t="s">
        <v>983</v>
      </c>
      <c r="D81" s="309"/>
      <c r="E81" s="309"/>
      <c r="F81" s="309"/>
      <c r="G81" s="309"/>
      <c r="H81" s="309"/>
      <c r="I81" s="309"/>
      <c r="J81" s="309"/>
      <c r="K81" s="309"/>
      <c r="L81" s="309"/>
      <c r="M81" s="310"/>
    </row>
    <row r="82" spans="1:74" x14ac:dyDescent="0.25">
      <c r="A82" s="97" t="s">
        <v>129</v>
      </c>
      <c r="B82" s="98" t="s">
        <v>386</v>
      </c>
      <c r="C82" s="318" t="s">
        <v>387</v>
      </c>
      <c r="D82" s="319"/>
      <c r="E82" s="99" t="s">
        <v>87</v>
      </c>
      <c r="F82" s="99" t="s">
        <v>87</v>
      </c>
      <c r="G82" s="99" t="s">
        <v>87</v>
      </c>
      <c r="H82" s="100">
        <f>SUM(H83:H86)</f>
        <v>0</v>
      </c>
      <c r="I82" s="100">
        <f>SUM(I83:I86)</f>
        <v>0</v>
      </c>
      <c r="J82" s="100">
        <f>SUM(J83:J86)</f>
        <v>0</v>
      </c>
      <c r="K82" s="101" t="s">
        <v>129</v>
      </c>
      <c r="L82" s="100">
        <f>SUM(L83:L86)</f>
        <v>0</v>
      </c>
      <c r="M82" s="102" t="s">
        <v>129</v>
      </c>
      <c r="AG82" s="71" t="s">
        <v>129</v>
      </c>
      <c r="AQ82" s="67">
        <f>SUM(AH83:AH86)</f>
        <v>0</v>
      </c>
      <c r="AR82" s="67">
        <f>SUM(AI83:AI86)</f>
        <v>0</v>
      </c>
      <c r="AS82" s="67">
        <f>SUM(AJ83:AJ86)</f>
        <v>0</v>
      </c>
    </row>
    <row r="83" spans="1:74" ht="25.5" x14ac:dyDescent="0.25">
      <c r="A83" s="92" t="s">
        <v>274</v>
      </c>
      <c r="B83" s="69" t="s">
        <v>389</v>
      </c>
      <c r="C83" s="306" t="s">
        <v>390</v>
      </c>
      <c r="D83" s="307"/>
      <c r="E83" s="69" t="s">
        <v>281</v>
      </c>
      <c r="F83" s="77">
        <v>6.83</v>
      </c>
      <c r="G83" s="218">
        <v>0</v>
      </c>
      <c r="H83" s="77">
        <f>F83*AM83</f>
        <v>0</v>
      </c>
      <c r="I83" s="77">
        <f>F83*AN83</f>
        <v>0</v>
      </c>
      <c r="J83" s="77">
        <f>F83*G83</f>
        <v>0</v>
      </c>
      <c r="K83" s="77">
        <v>0</v>
      </c>
      <c r="L83" s="77">
        <f>F83*K83</f>
        <v>0</v>
      </c>
      <c r="M83" s="103" t="s">
        <v>35</v>
      </c>
      <c r="X83" s="77">
        <f>IF(AO83="5",BH83,0)</f>
        <v>0</v>
      </c>
      <c r="Z83" s="77">
        <f>IF(AO83="1",BF83,0)</f>
        <v>0</v>
      </c>
      <c r="AA83" s="77">
        <f>IF(AO83="1",BG83,0)</f>
        <v>0</v>
      </c>
      <c r="AB83" s="77">
        <f>IF(AO83="7",BF83,0)</f>
        <v>0</v>
      </c>
      <c r="AC83" s="77">
        <f>IF(AO83="7",BG83,0)</f>
        <v>0</v>
      </c>
      <c r="AD83" s="77">
        <f>IF(AO83="2",BF83,0)</f>
        <v>0</v>
      </c>
      <c r="AE83" s="77">
        <f>IF(AO83="2",BG83,0)</f>
        <v>0</v>
      </c>
      <c r="AF83" s="77">
        <f>IF(AO83="0",BH83,0)</f>
        <v>0</v>
      </c>
      <c r="AG83" s="71" t="s">
        <v>129</v>
      </c>
      <c r="AH83" s="77">
        <f>IF(AL83=0,J83,0)</f>
        <v>0</v>
      </c>
      <c r="AI83" s="77">
        <f>IF(AL83=15,J83,0)</f>
        <v>0</v>
      </c>
      <c r="AJ83" s="77">
        <f>IF(AL83=21,J83,0)</f>
        <v>0</v>
      </c>
      <c r="AL83" s="77">
        <v>15</v>
      </c>
      <c r="AM83" s="77">
        <f>G83*0</f>
        <v>0</v>
      </c>
      <c r="AN83" s="77">
        <f>G83*(1-0)</f>
        <v>0</v>
      </c>
      <c r="AO83" s="79" t="s">
        <v>158</v>
      </c>
      <c r="AT83" s="77">
        <f>AU83+AV83</f>
        <v>0</v>
      </c>
      <c r="AU83" s="77">
        <f>F83*AM83</f>
        <v>0</v>
      </c>
      <c r="AV83" s="77">
        <f>F83*AN83</f>
        <v>0</v>
      </c>
      <c r="AW83" s="79" t="s">
        <v>391</v>
      </c>
      <c r="AX83" s="79" t="s">
        <v>384</v>
      </c>
      <c r="AY83" s="71" t="s">
        <v>137</v>
      </c>
      <c r="BA83" s="77">
        <f>AU83+AV83</f>
        <v>0</v>
      </c>
      <c r="BB83" s="77">
        <f>G83/(100-BC83)*100</f>
        <v>0</v>
      </c>
      <c r="BC83" s="77">
        <v>0</v>
      </c>
      <c r="BD83" s="77">
        <f>L83</f>
        <v>0</v>
      </c>
      <c r="BF83" s="77">
        <f>F83*AM83</f>
        <v>0</v>
      </c>
      <c r="BG83" s="77">
        <f>F83*AN83</f>
        <v>0</v>
      </c>
      <c r="BH83" s="77">
        <f>F83*G83</f>
        <v>0</v>
      </c>
      <c r="BI83" s="77"/>
      <c r="BJ83" s="77"/>
      <c r="BU83" s="77" t="e">
        <f>#REF!</f>
        <v>#REF!</v>
      </c>
      <c r="BV83" s="70" t="s">
        <v>390</v>
      </c>
    </row>
    <row r="84" spans="1:74" x14ac:dyDescent="0.25">
      <c r="A84" s="92" t="s">
        <v>278</v>
      </c>
      <c r="B84" s="69" t="s">
        <v>393</v>
      </c>
      <c r="C84" s="306" t="s">
        <v>394</v>
      </c>
      <c r="D84" s="307"/>
      <c r="E84" s="69" t="s">
        <v>281</v>
      </c>
      <c r="F84" s="77">
        <v>25.61</v>
      </c>
      <c r="G84" s="218">
        <v>0</v>
      </c>
      <c r="H84" s="77">
        <f>F84*AM84</f>
        <v>0</v>
      </c>
      <c r="I84" s="77">
        <f>F84*AN84</f>
        <v>0</v>
      </c>
      <c r="J84" s="77">
        <f>F84*G84</f>
        <v>0</v>
      </c>
      <c r="K84" s="77">
        <v>0</v>
      </c>
      <c r="L84" s="77">
        <f>F84*K84</f>
        <v>0</v>
      </c>
      <c r="M84" s="103" t="s">
        <v>35</v>
      </c>
      <c r="X84" s="77">
        <f>IF(AO84="5",BH84,0)</f>
        <v>0</v>
      </c>
      <c r="Z84" s="77">
        <f>IF(AO84="1",BF84,0)</f>
        <v>0</v>
      </c>
      <c r="AA84" s="77">
        <f>IF(AO84="1",BG84,0)</f>
        <v>0</v>
      </c>
      <c r="AB84" s="77">
        <f>IF(AO84="7",BF84,0)</f>
        <v>0</v>
      </c>
      <c r="AC84" s="77">
        <f>IF(AO84="7",BG84,0)</f>
        <v>0</v>
      </c>
      <c r="AD84" s="77">
        <f>IF(AO84="2",BF84,0)</f>
        <v>0</v>
      </c>
      <c r="AE84" s="77">
        <f>IF(AO84="2",BG84,0)</f>
        <v>0</v>
      </c>
      <c r="AF84" s="77">
        <f>IF(AO84="0",BH84,0)</f>
        <v>0</v>
      </c>
      <c r="AG84" s="71" t="s">
        <v>129</v>
      </c>
      <c r="AH84" s="77">
        <f>IF(AL84=0,J84,0)</f>
        <v>0</v>
      </c>
      <c r="AI84" s="77">
        <f>IF(AL84=15,J84,0)</f>
        <v>0</v>
      </c>
      <c r="AJ84" s="77">
        <f>IF(AL84=21,J84,0)</f>
        <v>0</v>
      </c>
      <c r="AL84" s="77">
        <v>15</v>
      </c>
      <c r="AM84" s="77">
        <f>G84*0</f>
        <v>0</v>
      </c>
      <c r="AN84" s="77">
        <f>G84*(1-0)</f>
        <v>0</v>
      </c>
      <c r="AO84" s="79" t="s">
        <v>158</v>
      </c>
      <c r="AT84" s="77">
        <f>AU84+AV84</f>
        <v>0</v>
      </c>
      <c r="AU84" s="77">
        <f>F84*AM84</f>
        <v>0</v>
      </c>
      <c r="AV84" s="77">
        <f>F84*AN84</f>
        <v>0</v>
      </c>
      <c r="AW84" s="79" t="s">
        <v>391</v>
      </c>
      <c r="AX84" s="79" t="s">
        <v>384</v>
      </c>
      <c r="AY84" s="71" t="s">
        <v>137</v>
      </c>
      <c r="BA84" s="77">
        <f>AU84+AV84</f>
        <v>0</v>
      </c>
      <c r="BB84" s="77">
        <f>G84/(100-BC84)*100</f>
        <v>0</v>
      </c>
      <c r="BC84" s="77">
        <v>0</v>
      </c>
      <c r="BD84" s="77">
        <f>L84</f>
        <v>0</v>
      </c>
      <c r="BF84" s="77">
        <f>F84*AM84</f>
        <v>0</v>
      </c>
      <c r="BG84" s="77">
        <f>F84*AN84</f>
        <v>0</v>
      </c>
      <c r="BH84" s="77">
        <f>F84*G84</f>
        <v>0</v>
      </c>
      <c r="BI84" s="77"/>
      <c r="BJ84" s="77"/>
      <c r="BU84" s="77" t="e">
        <f>#REF!</f>
        <v>#REF!</v>
      </c>
      <c r="BV84" s="70" t="s">
        <v>394</v>
      </c>
    </row>
    <row r="85" spans="1:74" ht="40.5" customHeight="1" x14ac:dyDescent="0.25">
      <c r="A85" s="104"/>
      <c r="B85" s="81" t="s">
        <v>138</v>
      </c>
      <c r="C85" s="303" t="s">
        <v>1009</v>
      </c>
      <c r="D85" s="304"/>
      <c r="E85" s="304"/>
      <c r="F85" s="304"/>
      <c r="G85" s="304"/>
      <c r="H85" s="304"/>
      <c r="I85" s="304"/>
      <c r="J85" s="304"/>
      <c r="K85" s="304"/>
      <c r="L85" s="304"/>
      <c r="M85" s="305"/>
    </row>
    <row r="86" spans="1:74" x14ac:dyDescent="0.25">
      <c r="A86" s="92" t="s">
        <v>283</v>
      </c>
      <c r="B86" s="69" t="s">
        <v>798</v>
      </c>
      <c r="C86" s="306" t="s">
        <v>799</v>
      </c>
      <c r="D86" s="307"/>
      <c r="E86" s="69" t="s">
        <v>281</v>
      </c>
      <c r="F86" s="77">
        <v>8.5399999999999991</v>
      </c>
      <c r="G86" s="218">
        <v>0</v>
      </c>
      <c r="H86" s="77">
        <f>F86*AM86</f>
        <v>0</v>
      </c>
      <c r="I86" s="77">
        <f>F86*AN86</f>
        <v>0</v>
      </c>
      <c r="J86" s="77">
        <f>F86*G86</f>
        <v>0</v>
      </c>
      <c r="K86" s="77">
        <v>0</v>
      </c>
      <c r="L86" s="77">
        <f>F86*K86</f>
        <v>0</v>
      </c>
      <c r="M86" s="103" t="s">
        <v>35</v>
      </c>
      <c r="X86" s="77">
        <f>IF(AO86="5",BH86,0)</f>
        <v>0</v>
      </c>
      <c r="Z86" s="77">
        <f>IF(AO86="1",BF86,0)</f>
        <v>0</v>
      </c>
      <c r="AA86" s="77">
        <f>IF(AO86="1",BG86,0)</f>
        <v>0</v>
      </c>
      <c r="AB86" s="77">
        <f>IF(AO86="7",BF86,0)</f>
        <v>0</v>
      </c>
      <c r="AC86" s="77">
        <f>IF(AO86="7",BG86,0)</f>
        <v>0</v>
      </c>
      <c r="AD86" s="77">
        <f>IF(AO86="2",BF86,0)</f>
        <v>0</v>
      </c>
      <c r="AE86" s="77">
        <f>IF(AO86="2",BG86,0)</f>
        <v>0</v>
      </c>
      <c r="AF86" s="77">
        <f>IF(AO86="0",BH86,0)</f>
        <v>0</v>
      </c>
      <c r="AG86" s="71" t="s">
        <v>129</v>
      </c>
      <c r="AH86" s="77">
        <f>IF(AL86=0,J86,0)</f>
        <v>0</v>
      </c>
      <c r="AI86" s="77">
        <f>IF(AL86=15,J86,0)</f>
        <v>0</v>
      </c>
      <c r="AJ86" s="77">
        <f>IF(AL86=21,J86,0)</f>
        <v>0</v>
      </c>
      <c r="AL86" s="77">
        <v>15</v>
      </c>
      <c r="AM86" s="77">
        <f>G86*0</f>
        <v>0</v>
      </c>
      <c r="AN86" s="77">
        <f>G86*(1-0)</f>
        <v>0</v>
      </c>
      <c r="AO86" s="79" t="s">
        <v>158</v>
      </c>
      <c r="AT86" s="77">
        <f>AU86+AV86</f>
        <v>0</v>
      </c>
      <c r="AU86" s="77">
        <f>F86*AM86</f>
        <v>0</v>
      </c>
      <c r="AV86" s="77">
        <f>F86*AN86</f>
        <v>0</v>
      </c>
      <c r="AW86" s="79" t="s">
        <v>391</v>
      </c>
      <c r="AX86" s="79" t="s">
        <v>384</v>
      </c>
      <c r="AY86" s="71" t="s">
        <v>137</v>
      </c>
      <c r="BA86" s="77">
        <f>AU86+AV86</f>
        <v>0</v>
      </c>
      <c r="BB86" s="77">
        <f>G86/(100-BC86)*100</f>
        <v>0</v>
      </c>
      <c r="BC86" s="77">
        <v>0</v>
      </c>
      <c r="BD86" s="77">
        <f>L86</f>
        <v>0</v>
      </c>
      <c r="BF86" s="77">
        <f>F86*AM86</f>
        <v>0</v>
      </c>
      <c r="BG86" s="77">
        <f>F86*AN86</f>
        <v>0</v>
      </c>
      <c r="BH86" s="77">
        <f>F86*G86</f>
        <v>0</v>
      </c>
      <c r="BI86" s="77"/>
      <c r="BJ86" s="77"/>
      <c r="BU86" s="77" t="e">
        <f>#REF!</f>
        <v>#REF!</v>
      </c>
      <c r="BV86" s="70" t="s">
        <v>799</v>
      </c>
    </row>
    <row r="87" spans="1:74" ht="40.5" customHeight="1" x14ac:dyDescent="0.25">
      <c r="A87" s="104"/>
      <c r="B87" s="81" t="s">
        <v>138</v>
      </c>
      <c r="C87" s="303" t="s">
        <v>1010</v>
      </c>
      <c r="D87" s="304"/>
      <c r="E87" s="304"/>
      <c r="F87" s="304"/>
      <c r="G87" s="304"/>
      <c r="H87" s="304"/>
      <c r="I87" s="304"/>
      <c r="J87" s="304"/>
      <c r="K87" s="304"/>
      <c r="L87" s="304"/>
      <c r="M87" s="305"/>
    </row>
    <row r="88" spans="1:74" x14ac:dyDescent="0.25">
      <c r="A88" s="105" t="s">
        <v>129</v>
      </c>
      <c r="B88" s="74" t="s">
        <v>401</v>
      </c>
      <c r="C88" s="314" t="s">
        <v>402</v>
      </c>
      <c r="D88" s="315"/>
      <c r="E88" s="75" t="s">
        <v>87</v>
      </c>
      <c r="F88" s="75" t="s">
        <v>87</v>
      </c>
      <c r="G88" s="75" t="s">
        <v>87</v>
      </c>
      <c r="H88" s="67">
        <f>SUM(H89:H90)</f>
        <v>0</v>
      </c>
      <c r="I88" s="67">
        <f>SUM(I89:I90)</f>
        <v>0</v>
      </c>
      <c r="J88" s="67">
        <f>SUM(J89:J90)</f>
        <v>0</v>
      </c>
      <c r="K88" s="71" t="s">
        <v>129</v>
      </c>
      <c r="L88" s="67">
        <f>SUM(L89:L90)</f>
        <v>0</v>
      </c>
      <c r="M88" s="106" t="s">
        <v>129</v>
      </c>
      <c r="AG88" s="71" t="s">
        <v>129</v>
      </c>
      <c r="AQ88" s="67">
        <f>SUM(AH89:AH90)</f>
        <v>0</v>
      </c>
      <c r="AR88" s="67">
        <f>SUM(AI89:AI90)</f>
        <v>0</v>
      </c>
      <c r="AS88" s="67">
        <f>SUM(AJ89:AJ90)</f>
        <v>0</v>
      </c>
    </row>
    <row r="89" spans="1:74" x14ac:dyDescent="0.25">
      <c r="A89" s="92" t="s">
        <v>290</v>
      </c>
      <c r="B89" s="69" t="s">
        <v>404</v>
      </c>
      <c r="C89" s="306" t="s">
        <v>405</v>
      </c>
      <c r="D89" s="307"/>
      <c r="E89" s="69" t="s">
        <v>281</v>
      </c>
      <c r="F89" s="77">
        <v>2.86</v>
      </c>
      <c r="G89" s="218">
        <v>0</v>
      </c>
      <c r="H89" s="77">
        <f>F89*AM89</f>
        <v>0</v>
      </c>
      <c r="I89" s="77">
        <f>F89*AN89</f>
        <v>0</v>
      </c>
      <c r="J89" s="77">
        <f>F89*G89</f>
        <v>0</v>
      </c>
      <c r="K89" s="77">
        <v>0</v>
      </c>
      <c r="L89" s="77">
        <f>F89*K89</f>
        <v>0</v>
      </c>
      <c r="M89" s="103" t="s">
        <v>35</v>
      </c>
      <c r="X89" s="77">
        <f>IF(AO89="5",BH89,0)</f>
        <v>0</v>
      </c>
      <c r="Z89" s="77">
        <f>IF(AO89="1",BF89,0)</f>
        <v>0</v>
      </c>
      <c r="AA89" s="77">
        <f>IF(AO89="1",BG89,0)</f>
        <v>0</v>
      </c>
      <c r="AB89" s="77">
        <f>IF(AO89="7",BF89,0)</f>
        <v>0</v>
      </c>
      <c r="AC89" s="77">
        <f>IF(AO89="7",BG89,0)</f>
        <v>0</v>
      </c>
      <c r="AD89" s="77">
        <f>IF(AO89="2",BF89,0)</f>
        <v>0</v>
      </c>
      <c r="AE89" s="77">
        <f>IF(AO89="2",BG89,0)</f>
        <v>0</v>
      </c>
      <c r="AF89" s="77">
        <f>IF(AO89="0",BH89,0)</f>
        <v>0</v>
      </c>
      <c r="AG89" s="71" t="s">
        <v>129</v>
      </c>
      <c r="AH89" s="77">
        <f>IF(AL89=0,J89,0)</f>
        <v>0</v>
      </c>
      <c r="AI89" s="77">
        <f>IF(AL89=15,J89,0)</f>
        <v>0</v>
      </c>
      <c r="AJ89" s="77">
        <f>IF(AL89=21,J89,0)</f>
        <v>0</v>
      </c>
      <c r="AL89" s="77">
        <v>15</v>
      </c>
      <c r="AM89" s="77">
        <f>G89*0</f>
        <v>0</v>
      </c>
      <c r="AN89" s="77">
        <f>G89*(1-0)</f>
        <v>0</v>
      </c>
      <c r="AO89" s="79" t="s">
        <v>158</v>
      </c>
      <c r="AT89" s="77">
        <f>AU89+AV89</f>
        <v>0</v>
      </c>
      <c r="AU89" s="77">
        <f>F89*AM89</f>
        <v>0</v>
      </c>
      <c r="AV89" s="77">
        <f>F89*AN89</f>
        <v>0</v>
      </c>
      <c r="AW89" s="79" t="s">
        <v>406</v>
      </c>
      <c r="AX89" s="79" t="s">
        <v>384</v>
      </c>
      <c r="AY89" s="71" t="s">
        <v>137</v>
      </c>
      <c r="BA89" s="77">
        <f>AU89+AV89</f>
        <v>0</v>
      </c>
      <c r="BB89" s="77">
        <f>G89/(100-BC89)*100</f>
        <v>0</v>
      </c>
      <c r="BC89" s="77">
        <v>0</v>
      </c>
      <c r="BD89" s="77">
        <f>L89</f>
        <v>0</v>
      </c>
      <c r="BF89" s="77">
        <f>F89*AM89</f>
        <v>0</v>
      </c>
      <c r="BG89" s="77">
        <f>F89*AN89</f>
        <v>0</v>
      </c>
      <c r="BH89" s="77">
        <f>F89*G89</f>
        <v>0</v>
      </c>
      <c r="BI89" s="77"/>
      <c r="BJ89" s="77"/>
      <c r="BU89" s="77" t="e">
        <f>#REF!</f>
        <v>#REF!</v>
      </c>
      <c r="BV89" s="70" t="s">
        <v>405</v>
      </c>
    </row>
    <row r="90" spans="1:74" ht="15.75" thickBot="1" x14ac:dyDescent="0.3">
      <c r="A90" s="93" t="s">
        <v>298</v>
      </c>
      <c r="B90" s="94" t="s">
        <v>408</v>
      </c>
      <c r="C90" s="316" t="s">
        <v>409</v>
      </c>
      <c r="D90" s="317"/>
      <c r="E90" s="94" t="s">
        <v>281</v>
      </c>
      <c r="F90" s="125">
        <v>6.73</v>
      </c>
      <c r="G90" s="220">
        <v>0</v>
      </c>
      <c r="H90" s="125">
        <f>F90*AM90</f>
        <v>0</v>
      </c>
      <c r="I90" s="125">
        <f>F90*AN90</f>
        <v>0</v>
      </c>
      <c r="J90" s="125">
        <f>F90*G90</f>
        <v>0</v>
      </c>
      <c r="K90" s="125">
        <v>0</v>
      </c>
      <c r="L90" s="125">
        <f>F90*K90</f>
        <v>0</v>
      </c>
      <c r="M90" s="126" t="s">
        <v>35</v>
      </c>
      <c r="X90" s="77">
        <f>IF(AO90="5",BH90,0)</f>
        <v>0</v>
      </c>
      <c r="Z90" s="77">
        <f>IF(AO90="1",BF90,0)</f>
        <v>0</v>
      </c>
      <c r="AA90" s="77">
        <f>IF(AO90="1",BG90,0)</f>
        <v>0</v>
      </c>
      <c r="AB90" s="77">
        <f>IF(AO90="7",BF90,0)</f>
        <v>0</v>
      </c>
      <c r="AC90" s="77">
        <f>IF(AO90="7",BG90,0)</f>
        <v>0</v>
      </c>
      <c r="AD90" s="77">
        <f>IF(AO90="2",BF90,0)</f>
        <v>0</v>
      </c>
      <c r="AE90" s="77">
        <f>IF(AO90="2",BG90,0)</f>
        <v>0</v>
      </c>
      <c r="AF90" s="77">
        <f>IF(AO90="0",BH90,0)</f>
        <v>0</v>
      </c>
      <c r="AG90" s="71" t="s">
        <v>129</v>
      </c>
      <c r="AH90" s="77">
        <f>IF(AL90=0,J90,0)</f>
        <v>0</v>
      </c>
      <c r="AI90" s="77">
        <f>IF(AL90=15,J90,0)</f>
        <v>0</v>
      </c>
      <c r="AJ90" s="77">
        <f>IF(AL90=21,J90,0)</f>
        <v>0</v>
      </c>
      <c r="AL90" s="77">
        <v>15</v>
      </c>
      <c r="AM90" s="77">
        <f>G90*0</f>
        <v>0</v>
      </c>
      <c r="AN90" s="77">
        <f>G90*(1-0)</f>
        <v>0</v>
      </c>
      <c r="AO90" s="79" t="s">
        <v>158</v>
      </c>
      <c r="AT90" s="77">
        <f>AU90+AV90</f>
        <v>0</v>
      </c>
      <c r="AU90" s="77">
        <f>F90*AM90</f>
        <v>0</v>
      </c>
      <c r="AV90" s="77">
        <f>F90*AN90</f>
        <v>0</v>
      </c>
      <c r="AW90" s="79" t="s">
        <v>406</v>
      </c>
      <c r="AX90" s="79" t="s">
        <v>384</v>
      </c>
      <c r="AY90" s="71" t="s">
        <v>137</v>
      </c>
      <c r="BA90" s="77">
        <f>AU90+AV90</f>
        <v>0</v>
      </c>
      <c r="BB90" s="77">
        <f>G90/(100-BC90)*100</f>
        <v>0</v>
      </c>
      <c r="BC90" s="77">
        <v>0</v>
      </c>
      <c r="BD90" s="77">
        <f>L90</f>
        <v>0</v>
      </c>
      <c r="BF90" s="77">
        <f>F90*AM90</f>
        <v>0</v>
      </c>
      <c r="BG90" s="77">
        <f>F90*AN90</f>
        <v>0</v>
      </c>
      <c r="BH90" s="77">
        <f>F90*G90</f>
        <v>0</v>
      </c>
      <c r="BI90" s="77"/>
      <c r="BJ90" s="77"/>
      <c r="BU90" s="77" t="e">
        <f>#REF!</f>
        <v>#REF!</v>
      </c>
      <c r="BV90" s="70" t="s">
        <v>409</v>
      </c>
    </row>
    <row r="91" spans="1:74" x14ac:dyDescent="0.25">
      <c r="H91" s="311" t="s">
        <v>475</v>
      </c>
      <c r="I91" s="311"/>
      <c r="J91" s="84">
        <f>ROUND(J12+J19+J24+J33+J38+J51+J58+J61+J64+J67+J76+J79+J82+J88,1)</f>
        <v>0</v>
      </c>
    </row>
    <row r="92" spans="1:74" x14ac:dyDescent="0.25">
      <c r="A92" s="85" t="s">
        <v>138</v>
      </c>
    </row>
    <row r="93" spans="1:74" ht="27" customHeight="1" x14ac:dyDescent="0.25">
      <c r="A93" s="306" t="s">
        <v>953</v>
      </c>
      <c r="B93" s="307"/>
      <c r="C93" s="307"/>
      <c r="D93" s="307"/>
      <c r="E93" s="307"/>
      <c r="F93" s="307"/>
      <c r="G93" s="307"/>
      <c r="H93" s="307"/>
      <c r="I93" s="307"/>
      <c r="J93" s="307"/>
      <c r="K93" s="307"/>
      <c r="L93" s="307"/>
      <c r="M93" s="307"/>
    </row>
  </sheetData>
  <sheetProtection algorithmName="SHA-512" hashValue="sqklcjXSuqjc5UL9YmpX9PDHci5tsJnD0ME633fUsQS+EpbeJKQmR6gwuv7dEJxaxwqUULkHc2X0cEFNDtxndw==" saltValue="JNUnW0tqHlpUYGRB53JTjw==" spinCount="100000" sheet="1" formatCells="0" formatColumns="0" formatRows="0" insertColumns="0" insertRows="0" insertHyperlinks="0"/>
  <mergeCells count="110">
    <mergeCell ref="C89:D89"/>
    <mergeCell ref="C90:D90"/>
    <mergeCell ref="H91:I91"/>
    <mergeCell ref="A93:M93"/>
    <mergeCell ref="C83:D83"/>
    <mergeCell ref="C84:D84"/>
    <mergeCell ref="C85:M85"/>
    <mergeCell ref="C86:D86"/>
    <mergeCell ref="C87:M87"/>
    <mergeCell ref="C88:D88"/>
    <mergeCell ref="C77:D77"/>
    <mergeCell ref="C78:M78"/>
    <mergeCell ref="C79:D79"/>
    <mergeCell ref="C80:D80"/>
    <mergeCell ref="C81:M81"/>
    <mergeCell ref="C82:D82"/>
    <mergeCell ref="C71:M71"/>
    <mergeCell ref="C72:D72"/>
    <mergeCell ref="C73:M73"/>
    <mergeCell ref="C74:D74"/>
    <mergeCell ref="C75:M75"/>
    <mergeCell ref="C76:D76"/>
    <mergeCell ref="C65:D65"/>
    <mergeCell ref="C66:M66"/>
    <mergeCell ref="C67:D67"/>
    <mergeCell ref="C68:D68"/>
    <mergeCell ref="C69:M69"/>
    <mergeCell ref="C70:D70"/>
    <mergeCell ref="C59:D59"/>
    <mergeCell ref="C60:M60"/>
    <mergeCell ref="C61:D61"/>
    <mergeCell ref="C62:D62"/>
    <mergeCell ref="C63:M63"/>
    <mergeCell ref="C64:D64"/>
    <mergeCell ref="C53:M53"/>
    <mergeCell ref="C54:D54"/>
    <mergeCell ref="C55:M55"/>
    <mergeCell ref="C56:D56"/>
    <mergeCell ref="C57:M57"/>
    <mergeCell ref="C58:D58"/>
    <mergeCell ref="C47:D47"/>
    <mergeCell ref="C48:M48"/>
    <mergeCell ref="C49:D49"/>
    <mergeCell ref="C50:M50"/>
    <mergeCell ref="C51:D51"/>
    <mergeCell ref="C52:D52"/>
    <mergeCell ref="C41:D41"/>
    <mergeCell ref="C42:M42"/>
    <mergeCell ref="C43:D43"/>
    <mergeCell ref="C44:M44"/>
    <mergeCell ref="C45:D45"/>
    <mergeCell ref="C46:M46"/>
    <mergeCell ref="C35:M35"/>
    <mergeCell ref="C36:D36"/>
    <mergeCell ref="C37:M37"/>
    <mergeCell ref="C38:D38"/>
    <mergeCell ref="C39:D39"/>
    <mergeCell ref="C40:M40"/>
    <mergeCell ref="C29:D29"/>
    <mergeCell ref="C30:M30"/>
    <mergeCell ref="C31:D31"/>
    <mergeCell ref="C32:M32"/>
    <mergeCell ref="C33:D33"/>
    <mergeCell ref="C34:D34"/>
    <mergeCell ref="C23:M23"/>
    <mergeCell ref="C24:D24"/>
    <mergeCell ref="C25:D25"/>
    <mergeCell ref="C26:M26"/>
    <mergeCell ref="C27:D27"/>
    <mergeCell ref="C28:M28"/>
    <mergeCell ref="C17:D17"/>
    <mergeCell ref="C18:M18"/>
    <mergeCell ref="C19:D19"/>
    <mergeCell ref="C20:D20"/>
    <mergeCell ref="C21:M21"/>
    <mergeCell ref="C22:D22"/>
    <mergeCell ref="C11:D11"/>
    <mergeCell ref="C12:D12"/>
    <mergeCell ref="C13:D13"/>
    <mergeCell ref="C14:M14"/>
    <mergeCell ref="C15:D15"/>
    <mergeCell ref="C16:M16"/>
    <mergeCell ref="C10:D10"/>
    <mergeCell ref="H10:J10"/>
    <mergeCell ref="K10:L10"/>
    <mergeCell ref="A4:B5"/>
    <mergeCell ref="C4:D5"/>
    <mergeCell ref="E4:F5"/>
    <mergeCell ref="G4:G5"/>
    <mergeCell ref="A6:B7"/>
    <mergeCell ref="C6:D7"/>
    <mergeCell ref="E6:F7"/>
    <mergeCell ref="G6:G7"/>
    <mergeCell ref="A1:M1"/>
    <mergeCell ref="A2:B3"/>
    <mergeCell ref="C2:D3"/>
    <mergeCell ref="E2:F3"/>
    <mergeCell ref="G2:G3"/>
    <mergeCell ref="A8:B9"/>
    <mergeCell ref="C8:D9"/>
    <mergeCell ref="E8:F9"/>
    <mergeCell ref="G8:G9"/>
    <mergeCell ref="H2:H3"/>
    <mergeCell ref="I2:M3"/>
    <mergeCell ref="H4:H5"/>
    <mergeCell ref="I4:M5"/>
    <mergeCell ref="H6:H7"/>
    <mergeCell ref="I6:M7"/>
    <mergeCell ref="H8:H9"/>
    <mergeCell ref="I8:M9"/>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3" manualBreakCount="3">
    <brk id="28" max="12" man="1"/>
    <brk id="55" max="12" man="1"/>
    <brk id="81" max="12"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93B31-FAB2-4010-9BFA-8E6061A51B0F}">
  <sheetPr codeName="List11">
    <pageSetUpPr fitToPage="1"/>
  </sheetPr>
  <dimension ref="A1:BV91"/>
  <sheetViews>
    <sheetView view="pageBreakPreview" zoomScale="55" zoomScaleNormal="55" zoomScaleSheetLayoutView="55" workbookViewId="0">
      <pane ySplit="11" topLeftCell="A12" activePane="bottomLeft" state="frozen"/>
      <selection activeCell="D44" sqref="D44"/>
      <selection pane="bottomLeft" activeCell="C44" sqref="C44:M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85</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1231</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ht="15" customHeight="1" x14ac:dyDescent="0.25">
      <c r="A8" s="327" t="s">
        <v>95</v>
      </c>
      <c r="B8" s="307"/>
      <c r="C8" s="329" t="s">
        <v>96</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SUM(H13:H21)</f>
        <v>0</v>
      </c>
      <c r="I12" s="100">
        <f>SUM(I13:I21)</f>
        <v>0</v>
      </c>
      <c r="J12" s="100">
        <f>SUM(J13:J21)</f>
        <v>0</v>
      </c>
      <c r="K12" s="101" t="s">
        <v>129</v>
      </c>
      <c r="L12" s="100">
        <f>SUM(L13:L21)</f>
        <v>9.5416211000000004</v>
      </c>
      <c r="M12" s="102" t="s">
        <v>129</v>
      </c>
      <c r="AG12" s="71" t="s">
        <v>129</v>
      </c>
      <c r="AQ12" s="67">
        <f>SUM(AH13:AH21)</f>
        <v>0</v>
      </c>
      <c r="AR12" s="67">
        <f>SUM(AI13:AI21)</f>
        <v>0</v>
      </c>
      <c r="AS12" s="67">
        <f>SUM(AJ13:AJ21)</f>
        <v>0</v>
      </c>
    </row>
    <row r="13" spans="1:74" x14ac:dyDescent="0.25">
      <c r="A13" s="92" t="s">
        <v>132</v>
      </c>
      <c r="B13" s="69" t="s">
        <v>150</v>
      </c>
      <c r="C13" s="306" t="s">
        <v>151</v>
      </c>
      <c r="D13" s="307"/>
      <c r="E13" s="69" t="s">
        <v>145</v>
      </c>
      <c r="F13" s="77">
        <v>1.53</v>
      </c>
      <c r="G13" s="218">
        <v>0</v>
      </c>
      <c r="H13" s="77">
        <f>F13*AM13</f>
        <v>0</v>
      </c>
      <c r="I13" s="77">
        <f>F13*AN13</f>
        <v>0</v>
      </c>
      <c r="J13" s="77">
        <f>F13*G13</f>
        <v>0</v>
      </c>
      <c r="K13" s="77">
        <v>2.478E-2</v>
      </c>
      <c r="L13" s="77">
        <f>F13*K13</f>
        <v>3.79134E-2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G13*0.057577053</f>
        <v>0</v>
      </c>
      <c r="AN13" s="77">
        <f>G13*(1-0.057577053)</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3.79134E-2</v>
      </c>
      <c r="BF13" s="77">
        <f>F13*AM13</f>
        <v>0</v>
      </c>
      <c r="BG13" s="77">
        <f>F13*AN13</f>
        <v>0</v>
      </c>
      <c r="BH13" s="77">
        <f>F13*G13</f>
        <v>0</v>
      </c>
      <c r="BI13" s="77"/>
      <c r="BJ13" s="77">
        <v>11</v>
      </c>
      <c r="BU13" s="77" t="e">
        <f>#REF!</f>
        <v>#REF!</v>
      </c>
      <c r="BV13" s="70" t="s">
        <v>151</v>
      </c>
    </row>
    <row r="14" spans="1:74" ht="40.5" customHeight="1" x14ac:dyDescent="0.25">
      <c r="A14" s="104"/>
      <c r="B14" s="81" t="s">
        <v>138</v>
      </c>
      <c r="C14" s="303" t="s">
        <v>985</v>
      </c>
      <c r="D14" s="304"/>
      <c r="E14" s="304"/>
      <c r="F14" s="304"/>
      <c r="G14" s="304"/>
      <c r="H14" s="304"/>
      <c r="I14" s="304"/>
      <c r="J14" s="304"/>
      <c r="K14" s="304"/>
      <c r="L14" s="304"/>
      <c r="M14" s="305"/>
    </row>
    <row r="15" spans="1:74" x14ac:dyDescent="0.25">
      <c r="A15" s="92" t="s">
        <v>142</v>
      </c>
      <c r="B15" s="69" t="s">
        <v>143</v>
      </c>
      <c r="C15" s="306" t="s">
        <v>144</v>
      </c>
      <c r="D15" s="307"/>
      <c r="E15" s="69" t="s">
        <v>145</v>
      </c>
      <c r="F15" s="77">
        <v>1.53</v>
      </c>
      <c r="G15" s="218">
        <v>0</v>
      </c>
      <c r="H15" s="77">
        <f>F15*AM15</f>
        <v>0</v>
      </c>
      <c r="I15" s="77">
        <f>F15*AN15</f>
        <v>0</v>
      </c>
      <c r="J15" s="77">
        <f>F15*G15</f>
        <v>0</v>
      </c>
      <c r="K15" s="77">
        <v>8.6899999999999998E-3</v>
      </c>
      <c r="L15" s="77">
        <f>F15*K15</f>
        <v>1.3295700000000001E-2</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G15*0.061949627</f>
        <v>0</v>
      </c>
      <c r="AN15" s="77">
        <f>G15*(1-0.061949627)</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1.3295700000000001E-2</v>
      </c>
      <c r="BF15" s="77">
        <f>F15*AM15</f>
        <v>0</v>
      </c>
      <c r="BG15" s="77">
        <f>F15*AN15</f>
        <v>0</v>
      </c>
      <c r="BH15" s="77">
        <f>F15*G15</f>
        <v>0</v>
      </c>
      <c r="BI15" s="77"/>
      <c r="BJ15" s="77">
        <v>11</v>
      </c>
      <c r="BU15" s="77" t="e">
        <f>#REF!</f>
        <v>#REF!</v>
      </c>
      <c r="BV15" s="70" t="s">
        <v>144</v>
      </c>
    </row>
    <row r="16" spans="1:74" ht="40.5" customHeight="1" x14ac:dyDescent="0.25">
      <c r="A16" s="104"/>
      <c r="B16" s="81" t="s">
        <v>138</v>
      </c>
      <c r="C16" s="303" t="s">
        <v>986</v>
      </c>
      <c r="D16" s="304"/>
      <c r="E16" s="304"/>
      <c r="F16" s="304"/>
      <c r="G16" s="304"/>
      <c r="H16" s="304"/>
      <c r="I16" s="304"/>
      <c r="J16" s="304"/>
      <c r="K16" s="304"/>
      <c r="L16" s="304"/>
      <c r="M16" s="305"/>
    </row>
    <row r="17" spans="1:74" x14ac:dyDescent="0.25">
      <c r="A17" s="92" t="s">
        <v>149</v>
      </c>
      <c r="B17" s="69" t="s">
        <v>493</v>
      </c>
      <c r="C17" s="306" t="s">
        <v>494</v>
      </c>
      <c r="D17" s="307"/>
      <c r="E17" s="69" t="s">
        <v>166</v>
      </c>
      <c r="F17" s="77">
        <v>5.62</v>
      </c>
      <c r="G17" s="218">
        <v>0</v>
      </c>
      <c r="H17" s="77">
        <f>F17*AM17</f>
        <v>0</v>
      </c>
      <c r="I17" s="77">
        <f>F17*AN17</f>
        <v>0</v>
      </c>
      <c r="J17" s="77">
        <f>F17*G17</f>
        <v>0</v>
      </c>
      <c r="K17" s="77">
        <v>0.90010000000000001</v>
      </c>
      <c r="L17" s="77">
        <f>F17*K17</f>
        <v>5.0585620000000002</v>
      </c>
      <c r="M17" s="103" t="s">
        <v>35</v>
      </c>
      <c r="X17" s="77">
        <f>IF(AO17="5",BH17,0)</f>
        <v>0</v>
      </c>
      <c r="Z17" s="77">
        <f>IF(AO17="1",BF17,0)</f>
        <v>0</v>
      </c>
      <c r="AA17" s="77">
        <f>IF(AO17="1",BG17,0)</f>
        <v>0</v>
      </c>
      <c r="AB17" s="77">
        <f>IF(AO17="7",BF17,0)</f>
        <v>0</v>
      </c>
      <c r="AC17" s="77">
        <f>IF(AO17="7",BG17,0)</f>
        <v>0</v>
      </c>
      <c r="AD17" s="77">
        <f>IF(AO17="2",BF17,0)</f>
        <v>0</v>
      </c>
      <c r="AE17" s="77">
        <f>IF(AO17="2",BG17,0)</f>
        <v>0</v>
      </c>
      <c r="AF17" s="77">
        <f>IF(AO17="0",BH17,0)</f>
        <v>0</v>
      </c>
      <c r="AG17" s="71" t="s">
        <v>129</v>
      </c>
      <c r="AH17" s="77">
        <f>IF(AL17=0,J17,0)</f>
        <v>0</v>
      </c>
      <c r="AI17" s="77">
        <f>IF(AL17=15,J17,0)</f>
        <v>0</v>
      </c>
      <c r="AJ17" s="77">
        <f>IF(AL17=21,J17,0)</f>
        <v>0</v>
      </c>
      <c r="AL17" s="77">
        <v>15</v>
      </c>
      <c r="AM17" s="77">
        <f>G17*0.00661125</f>
        <v>0</v>
      </c>
      <c r="AN17" s="77">
        <f>G17*(1-0.00661125)</f>
        <v>0</v>
      </c>
      <c r="AO17" s="79" t="s">
        <v>132</v>
      </c>
      <c r="AT17" s="77">
        <f>AU17+AV17</f>
        <v>0</v>
      </c>
      <c r="AU17" s="77">
        <f>F17*AM17</f>
        <v>0</v>
      </c>
      <c r="AV17" s="77">
        <f>F17*AN17</f>
        <v>0</v>
      </c>
      <c r="AW17" s="79" t="s">
        <v>146</v>
      </c>
      <c r="AX17" s="79" t="s">
        <v>147</v>
      </c>
      <c r="AY17" s="71" t="s">
        <v>137</v>
      </c>
      <c r="BA17" s="77">
        <f>AU17+AV17</f>
        <v>0</v>
      </c>
      <c r="BB17" s="77">
        <f>G17/(100-BC17)*100</f>
        <v>0</v>
      </c>
      <c r="BC17" s="77">
        <v>0</v>
      </c>
      <c r="BD17" s="77">
        <f>L17</f>
        <v>5.0585620000000002</v>
      </c>
      <c r="BF17" s="77">
        <f>F17*AM17</f>
        <v>0</v>
      </c>
      <c r="BG17" s="77">
        <f>F17*AN17</f>
        <v>0</v>
      </c>
      <c r="BH17" s="77">
        <f>F17*G17</f>
        <v>0</v>
      </c>
      <c r="BI17" s="77"/>
      <c r="BJ17" s="77">
        <v>11</v>
      </c>
      <c r="BU17" s="77" t="e">
        <f>#REF!</f>
        <v>#REF!</v>
      </c>
      <c r="BV17" s="70" t="s">
        <v>494</v>
      </c>
    </row>
    <row r="18" spans="1:74" ht="162" customHeight="1" x14ac:dyDescent="0.25">
      <c r="A18" s="104"/>
      <c r="B18" s="81" t="s">
        <v>138</v>
      </c>
      <c r="C18" s="303" t="s">
        <v>958</v>
      </c>
      <c r="D18" s="304"/>
      <c r="E18" s="304"/>
      <c r="F18" s="304"/>
      <c r="G18" s="304"/>
      <c r="H18" s="304"/>
      <c r="I18" s="304"/>
      <c r="J18" s="304"/>
      <c r="K18" s="304"/>
      <c r="L18" s="304"/>
      <c r="M18" s="305"/>
    </row>
    <row r="19" spans="1:74" ht="25.5" x14ac:dyDescent="0.25">
      <c r="A19" s="92" t="s">
        <v>153</v>
      </c>
      <c r="B19" s="69" t="s">
        <v>987</v>
      </c>
      <c r="C19" s="306" t="s">
        <v>988</v>
      </c>
      <c r="D19" s="307"/>
      <c r="E19" s="69" t="s">
        <v>166</v>
      </c>
      <c r="F19" s="77">
        <v>2.41</v>
      </c>
      <c r="G19" s="218">
        <v>0</v>
      </c>
      <c r="H19" s="77">
        <f>F19*AM19</f>
        <v>0</v>
      </c>
      <c r="I19" s="77">
        <f>F19*AN19</f>
        <v>0</v>
      </c>
      <c r="J19" s="77">
        <f>F19*G19</f>
        <v>0</v>
      </c>
      <c r="K19" s="77">
        <v>1.105</v>
      </c>
      <c r="L19" s="77">
        <f>F19*K19</f>
        <v>2.6630500000000001</v>
      </c>
      <c r="M19" s="103" t="s">
        <v>35</v>
      </c>
      <c r="X19" s="77">
        <f>IF(AO19="5",BH19,0)</f>
        <v>0</v>
      </c>
      <c r="Z19" s="77">
        <f>IF(AO19="1",BF19,0)</f>
        <v>0</v>
      </c>
      <c r="AA19" s="77">
        <f>IF(AO19="1",BG19,0)</f>
        <v>0</v>
      </c>
      <c r="AB19" s="77">
        <f>IF(AO19="7",BF19,0)</f>
        <v>0</v>
      </c>
      <c r="AC19" s="77">
        <f>IF(AO19="7",BG19,0)</f>
        <v>0</v>
      </c>
      <c r="AD19" s="77">
        <f>IF(AO19="2",BF19,0)</f>
        <v>0</v>
      </c>
      <c r="AE19" s="77">
        <f>IF(AO19="2",BG19,0)</f>
        <v>0</v>
      </c>
      <c r="AF19" s="77">
        <f>IF(AO19="0",BH19,0)</f>
        <v>0</v>
      </c>
      <c r="AG19" s="71" t="s">
        <v>129</v>
      </c>
      <c r="AH19" s="77">
        <f>IF(AL19=0,J19,0)</f>
        <v>0</v>
      </c>
      <c r="AI19" s="77">
        <f>IF(AL19=15,J19,0)</f>
        <v>0</v>
      </c>
      <c r="AJ19" s="77">
        <f>IF(AL19=21,J19,0)</f>
        <v>0</v>
      </c>
      <c r="AL19" s="77">
        <v>15</v>
      </c>
      <c r="AM19" s="77">
        <f>G19*0</f>
        <v>0</v>
      </c>
      <c r="AN19" s="77">
        <f>G19*(1-0)</f>
        <v>0</v>
      </c>
      <c r="AO19" s="79" t="s">
        <v>132</v>
      </c>
      <c r="AT19" s="77">
        <f>AU19+AV19</f>
        <v>0</v>
      </c>
      <c r="AU19" s="77">
        <f>F19*AM19</f>
        <v>0</v>
      </c>
      <c r="AV19" s="77">
        <f>F19*AN19</f>
        <v>0</v>
      </c>
      <c r="AW19" s="79" t="s">
        <v>146</v>
      </c>
      <c r="AX19" s="79" t="s">
        <v>147</v>
      </c>
      <c r="AY19" s="71" t="s">
        <v>137</v>
      </c>
      <c r="BA19" s="77">
        <f>AU19+AV19</f>
        <v>0</v>
      </c>
      <c r="BB19" s="77">
        <f>G19/(100-BC19)*100</f>
        <v>0</v>
      </c>
      <c r="BC19" s="77">
        <v>0</v>
      </c>
      <c r="BD19" s="77">
        <f>L19</f>
        <v>2.6630500000000001</v>
      </c>
      <c r="BF19" s="77">
        <f>F19*AM19</f>
        <v>0</v>
      </c>
      <c r="BG19" s="77">
        <f>F19*AN19</f>
        <v>0</v>
      </c>
      <c r="BH19" s="77">
        <f>F19*G19</f>
        <v>0</v>
      </c>
      <c r="BI19" s="77"/>
      <c r="BJ19" s="77">
        <v>11</v>
      </c>
      <c r="BU19" s="77" t="e">
        <f>#REF!</f>
        <v>#REF!</v>
      </c>
      <c r="BV19" s="70" t="s">
        <v>988</v>
      </c>
    </row>
    <row r="20" spans="1:74" ht="121.5" customHeight="1" x14ac:dyDescent="0.25">
      <c r="A20" s="104"/>
      <c r="B20" s="81" t="s">
        <v>138</v>
      </c>
      <c r="C20" s="303" t="s">
        <v>989</v>
      </c>
      <c r="D20" s="304"/>
      <c r="E20" s="304"/>
      <c r="F20" s="304"/>
      <c r="G20" s="304"/>
      <c r="H20" s="304"/>
      <c r="I20" s="304"/>
      <c r="J20" s="304"/>
      <c r="K20" s="304"/>
      <c r="L20" s="304"/>
      <c r="M20" s="305"/>
    </row>
    <row r="21" spans="1:74" x14ac:dyDescent="0.25">
      <c r="A21" s="92" t="s">
        <v>158</v>
      </c>
      <c r="B21" s="69" t="s">
        <v>819</v>
      </c>
      <c r="C21" s="306" t="s">
        <v>990</v>
      </c>
      <c r="D21" s="307"/>
      <c r="E21" s="69" t="s">
        <v>166</v>
      </c>
      <c r="F21" s="77">
        <v>5.36</v>
      </c>
      <c r="G21" s="218">
        <v>0</v>
      </c>
      <c r="H21" s="77">
        <f>F21*AM21</f>
        <v>0</v>
      </c>
      <c r="I21" s="77">
        <f>F21*AN21</f>
        <v>0</v>
      </c>
      <c r="J21" s="77">
        <f>F21*G21</f>
        <v>0</v>
      </c>
      <c r="K21" s="77">
        <v>0.33</v>
      </c>
      <c r="L21" s="77">
        <f>F21*K21</f>
        <v>1.7688000000000001</v>
      </c>
      <c r="M21" s="103" t="s">
        <v>35</v>
      </c>
      <c r="X21" s="77">
        <f>IF(AO21="5",BH21,0)</f>
        <v>0</v>
      </c>
      <c r="Z21" s="77">
        <f>IF(AO21="1",BF21,0)</f>
        <v>0</v>
      </c>
      <c r="AA21" s="77">
        <f>IF(AO21="1",BG21,0)</f>
        <v>0</v>
      </c>
      <c r="AB21" s="77">
        <f>IF(AO21="7",BF21,0)</f>
        <v>0</v>
      </c>
      <c r="AC21" s="77">
        <f>IF(AO21="7",BG21,0)</f>
        <v>0</v>
      </c>
      <c r="AD21" s="77">
        <f>IF(AO21="2",BF21,0)</f>
        <v>0</v>
      </c>
      <c r="AE21" s="77">
        <f>IF(AO21="2",BG21,0)</f>
        <v>0</v>
      </c>
      <c r="AF21" s="77">
        <f>IF(AO21="0",BH21,0)</f>
        <v>0</v>
      </c>
      <c r="AG21" s="71" t="s">
        <v>129</v>
      </c>
      <c r="AH21" s="77">
        <f>IF(AL21=0,J21,0)</f>
        <v>0</v>
      </c>
      <c r="AI21" s="77">
        <f>IF(AL21=15,J21,0)</f>
        <v>0</v>
      </c>
      <c r="AJ21" s="77">
        <f>IF(AL21=21,J21,0)</f>
        <v>0</v>
      </c>
      <c r="AL21" s="77">
        <v>15</v>
      </c>
      <c r="AM21" s="77">
        <f>G21*0</f>
        <v>0</v>
      </c>
      <c r="AN21" s="77">
        <f>G21*(1-0)</f>
        <v>0</v>
      </c>
      <c r="AO21" s="79" t="s">
        <v>132</v>
      </c>
      <c r="AT21" s="77">
        <f>AU21+AV21</f>
        <v>0</v>
      </c>
      <c r="AU21" s="77">
        <f>F21*AM21</f>
        <v>0</v>
      </c>
      <c r="AV21" s="77">
        <f>F21*AN21</f>
        <v>0</v>
      </c>
      <c r="AW21" s="79" t="s">
        <v>146</v>
      </c>
      <c r="AX21" s="79" t="s">
        <v>147</v>
      </c>
      <c r="AY21" s="71" t="s">
        <v>137</v>
      </c>
      <c r="BA21" s="77">
        <f>AU21+AV21</f>
        <v>0</v>
      </c>
      <c r="BB21" s="77">
        <f>G21/(100-BC21)*100</f>
        <v>0</v>
      </c>
      <c r="BC21" s="77">
        <v>0</v>
      </c>
      <c r="BD21" s="77">
        <f>L21</f>
        <v>1.7688000000000001</v>
      </c>
      <c r="BF21" s="77">
        <f>F21*AM21</f>
        <v>0</v>
      </c>
      <c r="BG21" s="77">
        <f>F21*AN21</f>
        <v>0</v>
      </c>
      <c r="BH21" s="77">
        <f>F21*G21</f>
        <v>0</v>
      </c>
      <c r="BI21" s="77"/>
      <c r="BJ21" s="77">
        <v>11</v>
      </c>
      <c r="BU21" s="77" t="e">
        <f>#REF!</f>
        <v>#REF!</v>
      </c>
      <c r="BV21" s="70" t="s">
        <v>990</v>
      </c>
    </row>
    <row r="22" spans="1:74" ht="67.5" customHeight="1" x14ac:dyDescent="0.25">
      <c r="A22" s="104"/>
      <c r="B22" s="81" t="s">
        <v>138</v>
      </c>
      <c r="C22" s="303" t="s">
        <v>991</v>
      </c>
      <c r="D22" s="304"/>
      <c r="E22" s="304"/>
      <c r="F22" s="304"/>
      <c r="G22" s="304"/>
      <c r="H22" s="304"/>
      <c r="I22" s="304"/>
      <c r="J22" s="304"/>
      <c r="K22" s="304"/>
      <c r="L22" s="304"/>
      <c r="M22" s="305"/>
    </row>
    <row r="23" spans="1:74" x14ac:dyDescent="0.25">
      <c r="A23" s="105" t="s">
        <v>129</v>
      </c>
      <c r="B23" s="74" t="s">
        <v>172</v>
      </c>
      <c r="C23" s="314" t="s">
        <v>173</v>
      </c>
      <c r="D23" s="315"/>
      <c r="E23" s="75" t="s">
        <v>87</v>
      </c>
      <c r="F23" s="75" t="s">
        <v>87</v>
      </c>
      <c r="G23" s="75" t="s">
        <v>87</v>
      </c>
      <c r="H23" s="67">
        <f>SUM(H24:H24)</f>
        <v>0</v>
      </c>
      <c r="I23" s="67">
        <f>SUM(I24:I24)</f>
        <v>0</v>
      </c>
      <c r="J23" s="67">
        <f>SUM(J24:J24)</f>
        <v>0</v>
      </c>
      <c r="K23" s="71" t="s">
        <v>129</v>
      </c>
      <c r="L23" s="67">
        <f>SUM(L24:L24)</f>
        <v>0</v>
      </c>
      <c r="M23" s="106" t="s">
        <v>129</v>
      </c>
      <c r="AG23" s="71" t="s">
        <v>129</v>
      </c>
      <c r="AQ23" s="67">
        <f>SUM(AH24:AH24)</f>
        <v>0</v>
      </c>
      <c r="AR23" s="67">
        <f>SUM(AI24:AI24)</f>
        <v>0</v>
      </c>
      <c r="AS23" s="67">
        <f>SUM(AJ24:AJ24)</f>
        <v>0</v>
      </c>
    </row>
    <row r="24" spans="1:74" x14ac:dyDescent="0.25">
      <c r="A24" s="92" t="s">
        <v>163</v>
      </c>
      <c r="B24" s="69" t="s">
        <v>175</v>
      </c>
      <c r="C24" s="306" t="s">
        <v>176</v>
      </c>
      <c r="D24" s="307"/>
      <c r="E24" s="69" t="s">
        <v>177</v>
      </c>
      <c r="F24" s="77">
        <v>1</v>
      </c>
      <c r="G24" s="218">
        <v>0</v>
      </c>
      <c r="H24" s="77">
        <f>F24*AM24</f>
        <v>0</v>
      </c>
      <c r="I24" s="77">
        <f>F24*AN24</f>
        <v>0</v>
      </c>
      <c r="J24" s="77">
        <f>F24*G24</f>
        <v>0</v>
      </c>
      <c r="K24" s="77">
        <v>0</v>
      </c>
      <c r="L24" s="77">
        <f>F24*K24</f>
        <v>0</v>
      </c>
      <c r="M24" s="103" t="s">
        <v>35</v>
      </c>
      <c r="X24" s="77">
        <f>IF(AO24="5",BH24,0)</f>
        <v>0</v>
      </c>
      <c r="Z24" s="77">
        <f>IF(AO24="1",BF24,0)</f>
        <v>0</v>
      </c>
      <c r="AA24" s="77">
        <f>IF(AO24="1",BG24,0)</f>
        <v>0</v>
      </c>
      <c r="AB24" s="77">
        <f>IF(AO24="7",BF24,0)</f>
        <v>0</v>
      </c>
      <c r="AC24" s="77">
        <f>IF(AO24="7",BG24,0)</f>
        <v>0</v>
      </c>
      <c r="AD24" s="77">
        <f>IF(AO24="2",BF24,0)</f>
        <v>0</v>
      </c>
      <c r="AE24" s="77">
        <f>IF(AO24="2",BG24,0)</f>
        <v>0</v>
      </c>
      <c r="AF24" s="77">
        <f>IF(AO24="0",BH24,0)</f>
        <v>0</v>
      </c>
      <c r="AG24" s="71" t="s">
        <v>129</v>
      </c>
      <c r="AH24" s="77">
        <f>IF(AL24=0,J24,0)</f>
        <v>0</v>
      </c>
      <c r="AI24" s="77">
        <f>IF(AL24=15,J24,0)</f>
        <v>0</v>
      </c>
      <c r="AJ24" s="77">
        <f>IF(AL24=21,J24,0)</f>
        <v>0</v>
      </c>
      <c r="AL24" s="77">
        <v>15</v>
      </c>
      <c r="AM24" s="77">
        <f>G24*0</f>
        <v>0</v>
      </c>
      <c r="AN24" s="77">
        <f>G24*(1-0)</f>
        <v>0</v>
      </c>
      <c r="AO24" s="79" t="s">
        <v>132</v>
      </c>
      <c r="AT24" s="77">
        <f>AU24+AV24</f>
        <v>0</v>
      </c>
      <c r="AU24" s="77">
        <f>F24*AM24</f>
        <v>0</v>
      </c>
      <c r="AV24" s="77">
        <f>F24*AN24</f>
        <v>0</v>
      </c>
      <c r="AW24" s="79" t="s">
        <v>178</v>
      </c>
      <c r="AX24" s="79" t="s">
        <v>147</v>
      </c>
      <c r="AY24" s="71" t="s">
        <v>137</v>
      </c>
      <c r="BA24" s="77">
        <f>AU24+AV24</f>
        <v>0</v>
      </c>
      <c r="BB24" s="77">
        <f>G24/(100-BC24)*100</f>
        <v>0</v>
      </c>
      <c r="BC24" s="77">
        <v>0</v>
      </c>
      <c r="BD24" s="77">
        <f>L24</f>
        <v>0</v>
      </c>
      <c r="BF24" s="77">
        <f>F24*AM24</f>
        <v>0</v>
      </c>
      <c r="BG24" s="77">
        <f>F24*AN24</f>
        <v>0</v>
      </c>
      <c r="BH24" s="77">
        <f>F24*G24</f>
        <v>0</v>
      </c>
      <c r="BI24" s="77"/>
      <c r="BJ24" s="77">
        <v>12</v>
      </c>
      <c r="BU24" s="77" t="e">
        <f>#REF!</f>
        <v>#REF!</v>
      </c>
      <c r="BV24" s="70" t="s">
        <v>176</v>
      </c>
    </row>
    <row r="25" spans="1:74" ht="40.5" customHeight="1" thickBot="1" x14ac:dyDescent="0.3">
      <c r="A25" s="107"/>
      <c r="B25" s="108" t="s">
        <v>138</v>
      </c>
      <c r="C25" s="308" t="s">
        <v>992</v>
      </c>
      <c r="D25" s="309"/>
      <c r="E25" s="309"/>
      <c r="F25" s="309"/>
      <c r="G25" s="309"/>
      <c r="H25" s="309"/>
      <c r="I25" s="309"/>
      <c r="J25" s="309"/>
      <c r="K25" s="309"/>
      <c r="L25" s="309"/>
      <c r="M25" s="310"/>
    </row>
    <row r="26" spans="1:74" x14ac:dyDescent="0.25">
      <c r="A26" s="97" t="s">
        <v>129</v>
      </c>
      <c r="B26" s="98" t="s">
        <v>180</v>
      </c>
      <c r="C26" s="318" t="s">
        <v>181</v>
      </c>
      <c r="D26" s="319"/>
      <c r="E26" s="99" t="s">
        <v>87</v>
      </c>
      <c r="F26" s="99" t="s">
        <v>87</v>
      </c>
      <c r="G26" s="99" t="s">
        <v>87</v>
      </c>
      <c r="H26" s="100">
        <f>SUM(H27:H33)</f>
        <v>0</v>
      </c>
      <c r="I26" s="100">
        <f>SUM(I27:I33)</f>
        <v>0</v>
      </c>
      <c r="J26" s="100">
        <f>SUM(J27:J33)</f>
        <v>0</v>
      </c>
      <c r="K26" s="101" t="s">
        <v>129</v>
      </c>
      <c r="L26" s="100">
        <f>SUM(L27:L33)</f>
        <v>0</v>
      </c>
      <c r="M26" s="102" t="s">
        <v>129</v>
      </c>
      <c r="AG26" s="71" t="s">
        <v>129</v>
      </c>
      <c r="AQ26" s="67">
        <f>SUM(AH27:AH33)</f>
        <v>0</v>
      </c>
      <c r="AR26" s="67">
        <f>SUM(AI27:AI33)</f>
        <v>0</v>
      </c>
      <c r="AS26" s="67">
        <f>SUM(AJ27:AJ33)</f>
        <v>0</v>
      </c>
    </row>
    <row r="27" spans="1:74" x14ac:dyDescent="0.25">
      <c r="A27" s="92" t="s">
        <v>168</v>
      </c>
      <c r="B27" s="69" t="s">
        <v>825</v>
      </c>
      <c r="C27" s="306" t="s">
        <v>907</v>
      </c>
      <c r="D27" s="307"/>
      <c r="E27" s="69" t="s">
        <v>177</v>
      </c>
      <c r="F27" s="77">
        <v>4.26</v>
      </c>
      <c r="G27" s="218">
        <v>0</v>
      </c>
      <c r="H27" s="77">
        <f>F27*AM27</f>
        <v>0</v>
      </c>
      <c r="I27" s="77">
        <f>F27*AN27</f>
        <v>0</v>
      </c>
      <c r="J27" s="77">
        <f>F27*G27</f>
        <v>0</v>
      </c>
      <c r="K27" s="77">
        <v>0</v>
      </c>
      <c r="L27" s="77">
        <f>F27*K27</f>
        <v>0</v>
      </c>
      <c r="M27" s="103"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f>
        <v>0</v>
      </c>
      <c r="AN27" s="77">
        <f>G27*(1-0)</f>
        <v>0</v>
      </c>
      <c r="AO27" s="79" t="s">
        <v>132</v>
      </c>
      <c r="AT27" s="77">
        <f>AU27+AV27</f>
        <v>0</v>
      </c>
      <c r="AU27" s="77">
        <f>F27*AM27</f>
        <v>0</v>
      </c>
      <c r="AV27" s="77">
        <f>F27*AN27</f>
        <v>0</v>
      </c>
      <c r="AW27" s="79" t="s">
        <v>185</v>
      </c>
      <c r="AX27" s="79" t="s">
        <v>147</v>
      </c>
      <c r="AY27" s="71" t="s">
        <v>137</v>
      </c>
      <c r="BA27" s="77">
        <f>AU27+AV27</f>
        <v>0</v>
      </c>
      <c r="BB27" s="77">
        <f>G27/(100-BC27)*100</f>
        <v>0</v>
      </c>
      <c r="BC27" s="77">
        <v>0</v>
      </c>
      <c r="BD27" s="77">
        <f>L27</f>
        <v>0</v>
      </c>
      <c r="BF27" s="77">
        <f>F27*AM27</f>
        <v>0</v>
      </c>
      <c r="BG27" s="77">
        <f>F27*AN27</f>
        <v>0</v>
      </c>
      <c r="BH27" s="77">
        <f>F27*G27</f>
        <v>0</v>
      </c>
      <c r="BI27" s="77"/>
      <c r="BJ27" s="77">
        <v>13</v>
      </c>
      <c r="BU27" s="77" t="e">
        <f>#REF!</f>
        <v>#REF!</v>
      </c>
      <c r="BV27" s="70" t="s">
        <v>907</v>
      </c>
    </row>
    <row r="28" spans="1:74" ht="121.5" customHeight="1" x14ac:dyDescent="0.25">
      <c r="A28" s="104"/>
      <c r="B28" s="81" t="s">
        <v>138</v>
      </c>
      <c r="C28" s="303" t="s">
        <v>993</v>
      </c>
      <c r="D28" s="304"/>
      <c r="E28" s="304"/>
      <c r="F28" s="304"/>
      <c r="G28" s="304"/>
      <c r="H28" s="304"/>
      <c r="I28" s="304"/>
      <c r="J28" s="304"/>
      <c r="K28" s="304"/>
      <c r="L28" s="304"/>
      <c r="M28" s="305"/>
    </row>
    <row r="29" spans="1:74" x14ac:dyDescent="0.25">
      <c r="A29" s="92" t="s">
        <v>174</v>
      </c>
      <c r="B29" s="69" t="s">
        <v>188</v>
      </c>
      <c r="C29" s="306" t="s">
        <v>909</v>
      </c>
      <c r="D29" s="307"/>
      <c r="E29" s="69" t="s">
        <v>177</v>
      </c>
      <c r="F29" s="77">
        <v>2.13</v>
      </c>
      <c r="G29" s="218">
        <v>0</v>
      </c>
      <c r="H29" s="77">
        <f>F29*AM29</f>
        <v>0</v>
      </c>
      <c r="I29" s="77">
        <f>F29*AN29</f>
        <v>0</v>
      </c>
      <c r="J29" s="77">
        <f>F29*G29</f>
        <v>0</v>
      </c>
      <c r="K29" s="77">
        <v>0</v>
      </c>
      <c r="L29" s="77">
        <f>F29*K29</f>
        <v>0</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185</v>
      </c>
      <c r="AX29" s="79" t="s">
        <v>147</v>
      </c>
      <c r="AY29" s="71" t="s">
        <v>137</v>
      </c>
      <c r="BA29" s="77">
        <f>AU29+AV29</f>
        <v>0</v>
      </c>
      <c r="BB29" s="77">
        <f>G29/(100-BC29)*100</f>
        <v>0</v>
      </c>
      <c r="BC29" s="77">
        <v>0</v>
      </c>
      <c r="BD29" s="77">
        <f>L29</f>
        <v>0</v>
      </c>
      <c r="BF29" s="77">
        <f>F29*AM29</f>
        <v>0</v>
      </c>
      <c r="BG29" s="77">
        <f>F29*AN29</f>
        <v>0</v>
      </c>
      <c r="BH29" s="77">
        <f>F29*G29</f>
        <v>0</v>
      </c>
      <c r="BI29" s="77"/>
      <c r="BJ29" s="77">
        <v>13</v>
      </c>
      <c r="BU29" s="77" t="e">
        <f>#REF!</f>
        <v>#REF!</v>
      </c>
      <c r="BV29" s="70" t="s">
        <v>909</v>
      </c>
    </row>
    <row r="30" spans="1:74" ht="40.5" customHeight="1" x14ac:dyDescent="0.25">
      <c r="A30" s="104"/>
      <c r="B30" s="81" t="s">
        <v>138</v>
      </c>
      <c r="C30" s="303" t="s">
        <v>994</v>
      </c>
      <c r="D30" s="304"/>
      <c r="E30" s="304"/>
      <c r="F30" s="304"/>
      <c r="G30" s="304"/>
      <c r="H30" s="304"/>
      <c r="I30" s="304"/>
      <c r="J30" s="304"/>
      <c r="K30" s="304"/>
      <c r="L30" s="304"/>
      <c r="M30" s="305"/>
    </row>
    <row r="31" spans="1:74" x14ac:dyDescent="0.25">
      <c r="A31" s="92" t="s">
        <v>182</v>
      </c>
      <c r="B31" s="69" t="s">
        <v>191</v>
      </c>
      <c r="C31" s="306" t="s">
        <v>192</v>
      </c>
      <c r="D31" s="307"/>
      <c r="E31" s="69" t="s">
        <v>177</v>
      </c>
      <c r="F31" s="77">
        <v>4.26</v>
      </c>
      <c r="G31" s="218">
        <v>0</v>
      </c>
      <c r="H31" s="77">
        <f>F31*AM31</f>
        <v>0</v>
      </c>
      <c r="I31" s="77">
        <f>F31*AN31</f>
        <v>0</v>
      </c>
      <c r="J31" s="77">
        <f>F31*G31</f>
        <v>0</v>
      </c>
      <c r="K31" s="77">
        <v>0</v>
      </c>
      <c r="L31" s="77">
        <f>F31*K31</f>
        <v>0</v>
      </c>
      <c r="M31" s="103" t="s">
        <v>35</v>
      </c>
      <c r="X31" s="77">
        <f>IF(AO31="5",BH31,0)</f>
        <v>0</v>
      </c>
      <c r="Z31" s="77">
        <f>IF(AO31="1",BF31,0)</f>
        <v>0</v>
      </c>
      <c r="AA31" s="77">
        <f>IF(AO31="1",BG31,0)</f>
        <v>0</v>
      </c>
      <c r="AB31" s="77">
        <f>IF(AO31="7",BF31,0)</f>
        <v>0</v>
      </c>
      <c r="AC31" s="77">
        <f>IF(AO31="7",BG31,0)</f>
        <v>0</v>
      </c>
      <c r="AD31" s="77">
        <f>IF(AO31="2",BF31,0)</f>
        <v>0</v>
      </c>
      <c r="AE31" s="77">
        <f>IF(AO31="2",BG31,0)</f>
        <v>0</v>
      </c>
      <c r="AF31" s="77">
        <f>IF(AO31="0",BH31,0)</f>
        <v>0</v>
      </c>
      <c r="AG31" s="71" t="s">
        <v>129</v>
      </c>
      <c r="AH31" s="77">
        <f>IF(AL31=0,J31,0)</f>
        <v>0</v>
      </c>
      <c r="AI31" s="77">
        <f>IF(AL31=15,J31,0)</f>
        <v>0</v>
      </c>
      <c r="AJ31" s="77">
        <f>IF(AL31=21,J31,0)</f>
        <v>0</v>
      </c>
      <c r="AL31" s="77">
        <v>15</v>
      </c>
      <c r="AM31" s="77">
        <f>G31*0</f>
        <v>0</v>
      </c>
      <c r="AN31" s="77">
        <f>G31*(1-0)</f>
        <v>0</v>
      </c>
      <c r="AO31" s="79" t="s">
        <v>132</v>
      </c>
      <c r="AT31" s="77">
        <f>AU31+AV31</f>
        <v>0</v>
      </c>
      <c r="AU31" s="77">
        <f>F31*AM31</f>
        <v>0</v>
      </c>
      <c r="AV31" s="77">
        <f>F31*AN31</f>
        <v>0</v>
      </c>
      <c r="AW31" s="79" t="s">
        <v>185</v>
      </c>
      <c r="AX31" s="79" t="s">
        <v>147</v>
      </c>
      <c r="AY31" s="71" t="s">
        <v>137</v>
      </c>
      <c r="BA31" s="77">
        <f>AU31+AV31</f>
        <v>0</v>
      </c>
      <c r="BB31" s="77">
        <f>G31/(100-BC31)*100</f>
        <v>0</v>
      </c>
      <c r="BC31" s="77">
        <v>0</v>
      </c>
      <c r="BD31" s="77">
        <f>L31</f>
        <v>0</v>
      </c>
      <c r="BF31" s="77">
        <f>F31*AM31</f>
        <v>0</v>
      </c>
      <c r="BG31" s="77">
        <f>F31*AN31</f>
        <v>0</v>
      </c>
      <c r="BH31" s="77">
        <f>F31*G31</f>
        <v>0</v>
      </c>
      <c r="BI31" s="77"/>
      <c r="BJ31" s="77">
        <v>13</v>
      </c>
      <c r="BU31" s="77" t="e">
        <f>#REF!</f>
        <v>#REF!</v>
      </c>
      <c r="BV31" s="70" t="s">
        <v>192</v>
      </c>
    </row>
    <row r="32" spans="1:74" ht="121.5" customHeight="1" x14ac:dyDescent="0.25">
      <c r="A32" s="104"/>
      <c r="B32" s="81" t="s">
        <v>138</v>
      </c>
      <c r="C32" s="303" t="s">
        <v>995</v>
      </c>
      <c r="D32" s="304"/>
      <c r="E32" s="304"/>
      <c r="F32" s="304"/>
      <c r="G32" s="304"/>
      <c r="H32" s="304"/>
      <c r="I32" s="304"/>
      <c r="J32" s="304"/>
      <c r="K32" s="304"/>
      <c r="L32" s="304"/>
      <c r="M32" s="305"/>
    </row>
    <row r="33" spans="1:74" x14ac:dyDescent="0.25">
      <c r="A33" s="92" t="s">
        <v>187</v>
      </c>
      <c r="B33" s="69" t="s">
        <v>194</v>
      </c>
      <c r="C33" s="306" t="s">
        <v>912</v>
      </c>
      <c r="D33" s="307"/>
      <c r="E33" s="69" t="s">
        <v>177</v>
      </c>
      <c r="F33" s="77">
        <v>1.06</v>
      </c>
      <c r="G33" s="218">
        <v>0</v>
      </c>
      <c r="H33" s="77">
        <f>F33*AM33</f>
        <v>0</v>
      </c>
      <c r="I33" s="77">
        <f>F33*AN33</f>
        <v>0</v>
      </c>
      <c r="J33" s="77">
        <f>F33*G33</f>
        <v>0</v>
      </c>
      <c r="K33" s="77">
        <v>0</v>
      </c>
      <c r="L33" s="77">
        <f>F33*K33</f>
        <v>0</v>
      </c>
      <c r="M33" s="103" t="s">
        <v>35</v>
      </c>
      <c r="X33" s="77">
        <f>IF(AO33="5",BH33,0)</f>
        <v>0</v>
      </c>
      <c r="Z33" s="77">
        <f>IF(AO33="1",BF33,0)</f>
        <v>0</v>
      </c>
      <c r="AA33" s="77">
        <f>IF(AO33="1",BG33,0)</f>
        <v>0</v>
      </c>
      <c r="AB33" s="77">
        <f>IF(AO33="7",BF33,0)</f>
        <v>0</v>
      </c>
      <c r="AC33" s="77">
        <f>IF(AO33="7",BG33,0)</f>
        <v>0</v>
      </c>
      <c r="AD33" s="77">
        <f>IF(AO33="2",BF33,0)</f>
        <v>0</v>
      </c>
      <c r="AE33" s="77">
        <f>IF(AO33="2",BG33,0)</f>
        <v>0</v>
      </c>
      <c r="AF33" s="77">
        <f>IF(AO33="0",BH33,0)</f>
        <v>0</v>
      </c>
      <c r="AG33" s="71" t="s">
        <v>129</v>
      </c>
      <c r="AH33" s="77">
        <f>IF(AL33=0,J33,0)</f>
        <v>0</v>
      </c>
      <c r="AI33" s="77">
        <f>IF(AL33=15,J33,0)</f>
        <v>0</v>
      </c>
      <c r="AJ33" s="77">
        <f>IF(AL33=21,J33,0)</f>
        <v>0</v>
      </c>
      <c r="AL33" s="77">
        <v>15</v>
      </c>
      <c r="AM33" s="77">
        <f>G33*0</f>
        <v>0</v>
      </c>
      <c r="AN33" s="77">
        <f>G33*(1-0)</f>
        <v>0</v>
      </c>
      <c r="AO33" s="79" t="s">
        <v>132</v>
      </c>
      <c r="AT33" s="77">
        <f>AU33+AV33</f>
        <v>0</v>
      </c>
      <c r="AU33" s="77">
        <f>F33*AM33</f>
        <v>0</v>
      </c>
      <c r="AV33" s="77">
        <f>F33*AN33</f>
        <v>0</v>
      </c>
      <c r="AW33" s="79" t="s">
        <v>185</v>
      </c>
      <c r="AX33" s="79" t="s">
        <v>147</v>
      </c>
      <c r="AY33" s="71" t="s">
        <v>137</v>
      </c>
      <c r="BA33" s="77">
        <f>AU33+AV33</f>
        <v>0</v>
      </c>
      <c r="BB33" s="77">
        <f>G33/(100-BC33)*100</f>
        <v>0</v>
      </c>
      <c r="BC33" s="77">
        <v>0</v>
      </c>
      <c r="BD33" s="77">
        <f>L33</f>
        <v>0</v>
      </c>
      <c r="BF33" s="77">
        <f>F33*AM33</f>
        <v>0</v>
      </c>
      <c r="BG33" s="77">
        <f>F33*AN33</f>
        <v>0</v>
      </c>
      <c r="BH33" s="77">
        <f>F33*G33</f>
        <v>0</v>
      </c>
      <c r="BI33" s="77"/>
      <c r="BJ33" s="77">
        <v>13</v>
      </c>
      <c r="BU33" s="77" t="e">
        <f>#REF!</f>
        <v>#REF!</v>
      </c>
      <c r="BV33" s="70" t="s">
        <v>912</v>
      </c>
    </row>
    <row r="34" spans="1:74" ht="40.5" customHeight="1" x14ac:dyDescent="0.25">
      <c r="A34" s="104"/>
      <c r="B34" s="81" t="s">
        <v>138</v>
      </c>
      <c r="C34" s="303" t="s">
        <v>996</v>
      </c>
      <c r="D34" s="304"/>
      <c r="E34" s="304"/>
      <c r="F34" s="304"/>
      <c r="G34" s="304"/>
      <c r="H34" s="304"/>
      <c r="I34" s="304"/>
      <c r="J34" s="304"/>
      <c r="K34" s="304"/>
      <c r="L34" s="304"/>
      <c r="M34" s="305"/>
    </row>
    <row r="35" spans="1:74" x14ac:dyDescent="0.25">
      <c r="A35" s="105" t="s">
        <v>129</v>
      </c>
      <c r="B35" s="74" t="s">
        <v>204</v>
      </c>
      <c r="C35" s="314" t="s">
        <v>208</v>
      </c>
      <c r="D35" s="315"/>
      <c r="E35" s="75" t="s">
        <v>87</v>
      </c>
      <c r="F35" s="75" t="s">
        <v>87</v>
      </c>
      <c r="G35" s="75" t="s">
        <v>87</v>
      </c>
      <c r="H35" s="67">
        <f>SUM(H36:H38)</f>
        <v>0</v>
      </c>
      <c r="I35" s="67">
        <f>SUM(I36:I38)</f>
        <v>0</v>
      </c>
      <c r="J35" s="67">
        <f>SUM(J36:J38)</f>
        <v>0</v>
      </c>
      <c r="K35" s="71" t="s">
        <v>129</v>
      </c>
      <c r="L35" s="67">
        <f>SUM(L36:L38)</f>
        <v>4.3E-3</v>
      </c>
      <c r="M35" s="106" t="s">
        <v>129</v>
      </c>
      <c r="AG35" s="71" t="s">
        <v>129</v>
      </c>
      <c r="AQ35" s="67">
        <f>SUM(AH36:AH38)</f>
        <v>0</v>
      </c>
      <c r="AR35" s="67">
        <f>SUM(AI36:AI38)</f>
        <v>0</v>
      </c>
      <c r="AS35" s="67">
        <f>SUM(AJ36:AJ38)</f>
        <v>0</v>
      </c>
    </row>
    <row r="36" spans="1:74" x14ac:dyDescent="0.25">
      <c r="A36" s="92" t="s">
        <v>140</v>
      </c>
      <c r="B36" s="69" t="s">
        <v>210</v>
      </c>
      <c r="C36" s="306" t="s">
        <v>211</v>
      </c>
      <c r="D36" s="307"/>
      <c r="E36" s="69" t="s">
        <v>166</v>
      </c>
      <c r="F36" s="77">
        <v>5</v>
      </c>
      <c r="G36" s="218">
        <v>0</v>
      </c>
      <c r="H36" s="77">
        <f>F36*AM36</f>
        <v>0</v>
      </c>
      <c r="I36" s="77">
        <f>F36*AN36</f>
        <v>0</v>
      </c>
      <c r="J36" s="77">
        <f>F36*G36</f>
        <v>0</v>
      </c>
      <c r="K36" s="77">
        <v>8.5999999999999998E-4</v>
      </c>
      <c r="L36" s="77">
        <f>F36*K36</f>
        <v>4.3E-3</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G36*0.088676717</f>
        <v>0</v>
      </c>
      <c r="AN36" s="77">
        <f>G36*(1-0.088676717)</f>
        <v>0</v>
      </c>
      <c r="AO36" s="79" t="s">
        <v>132</v>
      </c>
      <c r="AT36" s="77">
        <f>AU36+AV36</f>
        <v>0</v>
      </c>
      <c r="AU36" s="77">
        <f>F36*AM36</f>
        <v>0</v>
      </c>
      <c r="AV36" s="77">
        <f>F36*AN36</f>
        <v>0</v>
      </c>
      <c r="AW36" s="79" t="s">
        <v>212</v>
      </c>
      <c r="AX36" s="79" t="s">
        <v>147</v>
      </c>
      <c r="AY36" s="71" t="s">
        <v>137</v>
      </c>
      <c r="BA36" s="77">
        <f>AU36+AV36</f>
        <v>0</v>
      </c>
      <c r="BB36" s="77">
        <f>G36/(100-BC36)*100</f>
        <v>0</v>
      </c>
      <c r="BC36" s="77">
        <v>0</v>
      </c>
      <c r="BD36" s="77">
        <f>L36</f>
        <v>4.3E-3</v>
      </c>
      <c r="BF36" s="77">
        <f>F36*AM36</f>
        <v>0</v>
      </c>
      <c r="BG36" s="77">
        <f>F36*AN36</f>
        <v>0</v>
      </c>
      <c r="BH36" s="77">
        <f>F36*G36</f>
        <v>0</v>
      </c>
      <c r="BI36" s="77"/>
      <c r="BJ36" s="77">
        <v>15</v>
      </c>
      <c r="BU36" s="77" t="e">
        <f>#REF!</f>
        <v>#REF!</v>
      </c>
      <c r="BV36" s="70" t="s">
        <v>211</v>
      </c>
    </row>
    <row r="37" spans="1:74" ht="40.5" customHeight="1" x14ac:dyDescent="0.25">
      <c r="A37" s="104"/>
      <c r="B37" s="81" t="s">
        <v>138</v>
      </c>
      <c r="C37" s="303" t="s">
        <v>997</v>
      </c>
      <c r="D37" s="304"/>
      <c r="E37" s="304"/>
      <c r="F37" s="304"/>
      <c r="G37" s="304"/>
      <c r="H37" s="304"/>
      <c r="I37" s="304"/>
      <c r="J37" s="304"/>
      <c r="K37" s="304"/>
      <c r="L37" s="304"/>
      <c r="M37" s="305"/>
    </row>
    <row r="38" spans="1:74" x14ac:dyDescent="0.25">
      <c r="A38" s="92" t="s">
        <v>172</v>
      </c>
      <c r="B38" s="69" t="s">
        <v>215</v>
      </c>
      <c r="C38" s="306" t="s">
        <v>216</v>
      </c>
      <c r="D38" s="307"/>
      <c r="E38" s="69" t="s">
        <v>166</v>
      </c>
      <c r="F38" s="77">
        <v>5</v>
      </c>
      <c r="G38" s="218">
        <v>0</v>
      </c>
      <c r="H38" s="77">
        <f>F38*AM38</f>
        <v>0</v>
      </c>
      <c r="I38" s="77">
        <f>F38*AN38</f>
        <v>0</v>
      </c>
      <c r="J38" s="77">
        <f>F38*G38</f>
        <v>0</v>
      </c>
      <c r="K38" s="77">
        <v>0</v>
      </c>
      <c r="L38" s="77">
        <f>F38*K38</f>
        <v>0</v>
      </c>
      <c r="M38" s="103" t="s">
        <v>35</v>
      </c>
      <c r="X38" s="77">
        <f>IF(AO38="5",BH38,0)</f>
        <v>0</v>
      </c>
      <c r="Z38" s="77">
        <f>IF(AO38="1",BF38,0)</f>
        <v>0</v>
      </c>
      <c r="AA38" s="77">
        <f>IF(AO38="1",BG38,0)</f>
        <v>0</v>
      </c>
      <c r="AB38" s="77">
        <f>IF(AO38="7",BF38,0)</f>
        <v>0</v>
      </c>
      <c r="AC38" s="77">
        <f>IF(AO38="7",BG38,0)</f>
        <v>0</v>
      </c>
      <c r="AD38" s="77">
        <f>IF(AO38="2",BF38,0)</f>
        <v>0</v>
      </c>
      <c r="AE38" s="77">
        <f>IF(AO38="2",BG38,0)</f>
        <v>0</v>
      </c>
      <c r="AF38" s="77">
        <f>IF(AO38="0",BH38,0)</f>
        <v>0</v>
      </c>
      <c r="AG38" s="71" t="s">
        <v>129</v>
      </c>
      <c r="AH38" s="77">
        <f>IF(AL38=0,J38,0)</f>
        <v>0</v>
      </c>
      <c r="AI38" s="77">
        <f>IF(AL38=15,J38,0)</f>
        <v>0</v>
      </c>
      <c r="AJ38" s="77">
        <f>IF(AL38=21,J38,0)</f>
        <v>0</v>
      </c>
      <c r="AL38" s="77">
        <v>15</v>
      </c>
      <c r="AM38" s="77">
        <f>G38*0</f>
        <v>0</v>
      </c>
      <c r="AN38" s="77">
        <f>G38*(1-0)</f>
        <v>0</v>
      </c>
      <c r="AO38" s="79" t="s">
        <v>132</v>
      </c>
      <c r="AT38" s="77">
        <f>AU38+AV38</f>
        <v>0</v>
      </c>
      <c r="AU38" s="77">
        <f>F38*AM38</f>
        <v>0</v>
      </c>
      <c r="AV38" s="77">
        <f>F38*AN38</f>
        <v>0</v>
      </c>
      <c r="AW38" s="79" t="s">
        <v>212</v>
      </c>
      <c r="AX38" s="79" t="s">
        <v>147</v>
      </c>
      <c r="AY38" s="71" t="s">
        <v>137</v>
      </c>
      <c r="BA38" s="77">
        <f>AU38+AV38</f>
        <v>0</v>
      </c>
      <c r="BB38" s="77">
        <f>G38/(100-BC38)*100</f>
        <v>0</v>
      </c>
      <c r="BC38" s="77">
        <v>0</v>
      </c>
      <c r="BD38" s="77">
        <f>L38</f>
        <v>0</v>
      </c>
      <c r="BF38" s="77">
        <f>F38*AM38</f>
        <v>0</v>
      </c>
      <c r="BG38" s="77">
        <f>F38*AN38</f>
        <v>0</v>
      </c>
      <c r="BH38" s="77">
        <f>F38*G38</f>
        <v>0</v>
      </c>
      <c r="BI38" s="77"/>
      <c r="BJ38" s="77">
        <v>15</v>
      </c>
      <c r="BU38" s="77" t="e">
        <f>#REF!</f>
        <v>#REF!</v>
      </c>
      <c r="BV38" s="70" t="s">
        <v>216</v>
      </c>
    </row>
    <row r="39" spans="1:74" ht="40.5" customHeight="1" x14ac:dyDescent="0.25">
      <c r="A39" s="104"/>
      <c r="B39" s="81" t="s">
        <v>138</v>
      </c>
      <c r="C39" s="303" t="s">
        <v>998</v>
      </c>
      <c r="D39" s="304"/>
      <c r="E39" s="304"/>
      <c r="F39" s="304"/>
      <c r="G39" s="304"/>
      <c r="H39" s="304"/>
      <c r="I39" s="304"/>
      <c r="J39" s="304"/>
      <c r="K39" s="304"/>
      <c r="L39" s="304"/>
      <c r="M39" s="305"/>
    </row>
    <row r="40" spans="1:74" x14ac:dyDescent="0.25">
      <c r="A40" s="105" t="s">
        <v>129</v>
      </c>
      <c r="B40" s="74" t="s">
        <v>209</v>
      </c>
      <c r="C40" s="314" t="s">
        <v>218</v>
      </c>
      <c r="D40" s="315"/>
      <c r="E40" s="75" t="s">
        <v>87</v>
      </c>
      <c r="F40" s="75" t="s">
        <v>87</v>
      </c>
      <c r="G40" s="75" t="s">
        <v>87</v>
      </c>
      <c r="H40" s="67">
        <f>SUM(H41:H47)</f>
        <v>0</v>
      </c>
      <c r="I40" s="67">
        <f>SUM(I41:I47)</f>
        <v>0</v>
      </c>
      <c r="J40" s="67">
        <f>SUM(J41:J47)</f>
        <v>0</v>
      </c>
      <c r="K40" s="71" t="s">
        <v>129</v>
      </c>
      <c r="L40" s="67">
        <f>SUM(L41:L47)</f>
        <v>0</v>
      </c>
      <c r="M40" s="106" t="s">
        <v>129</v>
      </c>
      <c r="AG40" s="71" t="s">
        <v>129</v>
      </c>
      <c r="AQ40" s="67">
        <f>SUM(AH41:AH47)</f>
        <v>0</v>
      </c>
      <c r="AR40" s="67">
        <f>SUM(AI41:AI47)</f>
        <v>0</v>
      </c>
      <c r="AS40" s="67">
        <f>SUM(AJ41:AJ47)</f>
        <v>0</v>
      </c>
    </row>
    <row r="41" spans="1:74" x14ac:dyDescent="0.25">
      <c r="A41" s="92" t="s">
        <v>180</v>
      </c>
      <c r="B41" s="69" t="s">
        <v>220</v>
      </c>
      <c r="C41" s="306" t="s">
        <v>221</v>
      </c>
      <c r="D41" s="307"/>
      <c r="E41" s="69" t="s">
        <v>177</v>
      </c>
      <c r="F41" s="77">
        <v>4.26</v>
      </c>
      <c r="G41" s="218">
        <v>0</v>
      </c>
      <c r="H41" s="77">
        <f>F41*AM41</f>
        <v>0</v>
      </c>
      <c r="I41" s="77">
        <f>F41*AN41</f>
        <v>0</v>
      </c>
      <c r="J41" s="77">
        <f>F41*G41</f>
        <v>0</v>
      </c>
      <c r="K41" s="77">
        <v>0</v>
      </c>
      <c r="L41" s="77">
        <f>F41*K41</f>
        <v>0</v>
      </c>
      <c r="M41" s="103" t="s">
        <v>35</v>
      </c>
      <c r="X41" s="77">
        <f>IF(AO41="5",BH41,0)</f>
        <v>0</v>
      </c>
      <c r="Z41" s="77">
        <f>IF(AO41="1",BF41,0)</f>
        <v>0</v>
      </c>
      <c r="AA41" s="77">
        <f>IF(AO41="1",BG41,0)</f>
        <v>0</v>
      </c>
      <c r="AB41" s="77">
        <f>IF(AO41="7",BF41,0)</f>
        <v>0</v>
      </c>
      <c r="AC41" s="77">
        <f>IF(AO41="7",BG41,0)</f>
        <v>0</v>
      </c>
      <c r="AD41" s="77">
        <f>IF(AO41="2",BF41,0)</f>
        <v>0</v>
      </c>
      <c r="AE41" s="77">
        <f>IF(AO41="2",BG41,0)</f>
        <v>0</v>
      </c>
      <c r="AF41" s="77">
        <f>IF(AO41="0",BH41,0)</f>
        <v>0</v>
      </c>
      <c r="AG41" s="71" t="s">
        <v>129</v>
      </c>
      <c r="AH41" s="77">
        <f>IF(AL41=0,J41,0)</f>
        <v>0</v>
      </c>
      <c r="AI41" s="77">
        <f>IF(AL41=15,J41,0)</f>
        <v>0</v>
      </c>
      <c r="AJ41" s="77">
        <f>IF(AL41=21,J41,0)</f>
        <v>0</v>
      </c>
      <c r="AL41" s="77">
        <v>15</v>
      </c>
      <c r="AM41" s="77">
        <f>G41*0</f>
        <v>0</v>
      </c>
      <c r="AN41" s="77">
        <f>G41*(1-0)</f>
        <v>0</v>
      </c>
      <c r="AO41" s="79" t="s">
        <v>132</v>
      </c>
      <c r="AT41" s="77">
        <f>AU41+AV41</f>
        <v>0</v>
      </c>
      <c r="AU41" s="77">
        <f>F41*AM41</f>
        <v>0</v>
      </c>
      <c r="AV41" s="77">
        <f>F41*AN41</f>
        <v>0</v>
      </c>
      <c r="AW41" s="79" t="s">
        <v>222</v>
      </c>
      <c r="AX41" s="79" t="s">
        <v>147</v>
      </c>
      <c r="AY41" s="71" t="s">
        <v>137</v>
      </c>
      <c r="BA41" s="77">
        <f>AU41+AV41</f>
        <v>0</v>
      </c>
      <c r="BB41" s="77">
        <f>G41/(100-BC41)*100</f>
        <v>0</v>
      </c>
      <c r="BC41" s="77">
        <v>0</v>
      </c>
      <c r="BD41" s="77">
        <f>L41</f>
        <v>0</v>
      </c>
      <c r="BF41" s="77">
        <f>F41*AM41</f>
        <v>0</v>
      </c>
      <c r="BG41" s="77">
        <f>F41*AN41</f>
        <v>0</v>
      </c>
      <c r="BH41" s="77">
        <f>F41*G41</f>
        <v>0</v>
      </c>
      <c r="BI41" s="77"/>
      <c r="BJ41" s="77">
        <v>16</v>
      </c>
      <c r="BU41" s="77" t="e">
        <f>#REF!</f>
        <v>#REF!</v>
      </c>
      <c r="BV41" s="70" t="s">
        <v>221</v>
      </c>
    </row>
    <row r="42" spans="1:74" ht="67.5" customHeight="1" x14ac:dyDescent="0.25">
      <c r="A42" s="104"/>
      <c r="B42" s="81" t="s">
        <v>138</v>
      </c>
      <c r="C42" s="303" t="s">
        <v>999</v>
      </c>
      <c r="D42" s="304"/>
      <c r="E42" s="304"/>
      <c r="F42" s="304"/>
      <c r="G42" s="304"/>
      <c r="H42" s="304"/>
      <c r="I42" s="304"/>
      <c r="J42" s="304"/>
      <c r="K42" s="304"/>
      <c r="L42" s="304"/>
      <c r="M42" s="305"/>
    </row>
    <row r="43" spans="1:74" x14ac:dyDescent="0.25">
      <c r="A43" s="92" t="s">
        <v>200</v>
      </c>
      <c r="B43" s="69" t="s">
        <v>918</v>
      </c>
      <c r="C43" s="306" t="s">
        <v>230</v>
      </c>
      <c r="D43" s="307"/>
      <c r="E43" s="69" t="s">
        <v>177</v>
      </c>
      <c r="F43" s="77">
        <v>3.32</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15</v>
      </c>
      <c r="AM43" s="77">
        <f>G43*0</f>
        <v>0</v>
      </c>
      <c r="AN43" s="77">
        <f>G43*(1-0)</f>
        <v>0</v>
      </c>
      <c r="AO43" s="79" t="s">
        <v>132</v>
      </c>
      <c r="AT43" s="77">
        <f>AU43+AV43</f>
        <v>0</v>
      </c>
      <c r="AU43" s="77">
        <f>F43*AM43</f>
        <v>0</v>
      </c>
      <c r="AV43" s="77">
        <f>F43*AN43</f>
        <v>0</v>
      </c>
      <c r="AW43" s="79" t="s">
        <v>222</v>
      </c>
      <c r="AX43" s="79" t="s">
        <v>147</v>
      </c>
      <c r="AY43" s="71" t="s">
        <v>137</v>
      </c>
      <c r="BA43" s="77">
        <f>AU43+AV43</f>
        <v>0</v>
      </c>
      <c r="BB43" s="77">
        <f>G43/(100-BC43)*100</f>
        <v>0</v>
      </c>
      <c r="BC43" s="77">
        <v>0</v>
      </c>
      <c r="BD43" s="77">
        <f>L43</f>
        <v>0</v>
      </c>
      <c r="BF43" s="77">
        <f>F43*AM43</f>
        <v>0</v>
      </c>
      <c r="BG43" s="77">
        <f>F43*AN43</f>
        <v>0</v>
      </c>
      <c r="BH43" s="77">
        <f>F43*G43</f>
        <v>0</v>
      </c>
      <c r="BI43" s="77"/>
      <c r="BJ43" s="77">
        <v>16</v>
      </c>
      <c r="BU43" s="77" t="e">
        <f>#REF!</f>
        <v>#REF!</v>
      </c>
      <c r="BV43" s="70" t="s">
        <v>230</v>
      </c>
    </row>
    <row r="44" spans="1:74" ht="67.5" customHeight="1" x14ac:dyDescent="0.25">
      <c r="A44" s="104"/>
      <c r="B44" s="81" t="s">
        <v>138</v>
      </c>
      <c r="C44" s="303" t="s">
        <v>1000</v>
      </c>
      <c r="D44" s="304"/>
      <c r="E44" s="304"/>
      <c r="F44" s="304"/>
      <c r="G44" s="304"/>
      <c r="H44" s="304"/>
      <c r="I44" s="304"/>
      <c r="J44" s="304"/>
      <c r="K44" s="304"/>
      <c r="L44" s="304"/>
      <c r="M44" s="305"/>
    </row>
    <row r="45" spans="1:74" x14ac:dyDescent="0.25">
      <c r="A45" s="92" t="s">
        <v>204</v>
      </c>
      <c r="B45" s="69" t="s">
        <v>840</v>
      </c>
      <c r="C45" s="306" t="s">
        <v>969</v>
      </c>
      <c r="D45" s="307"/>
      <c r="E45" s="69" t="s">
        <v>177</v>
      </c>
      <c r="F45" s="77">
        <v>10.4</v>
      </c>
      <c r="G45" s="218">
        <v>0</v>
      </c>
      <c r="H45" s="77">
        <f>F45*AM45</f>
        <v>0</v>
      </c>
      <c r="I45" s="77">
        <f>F45*AN45</f>
        <v>0</v>
      </c>
      <c r="J45" s="77">
        <f>F45*G45</f>
        <v>0</v>
      </c>
      <c r="K45" s="77">
        <v>0</v>
      </c>
      <c r="L45" s="77">
        <f>F45*K45</f>
        <v>0</v>
      </c>
      <c r="M45" s="103" t="s">
        <v>35</v>
      </c>
      <c r="X45" s="77">
        <f>IF(AO45="5",BH45,0)</f>
        <v>0</v>
      </c>
      <c r="Z45" s="77">
        <f>IF(AO45="1",BF45,0)</f>
        <v>0</v>
      </c>
      <c r="AA45" s="77">
        <f>IF(AO45="1",BG45,0)</f>
        <v>0</v>
      </c>
      <c r="AB45" s="77">
        <f>IF(AO45="7",BF45,0)</f>
        <v>0</v>
      </c>
      <c r="AC45" s="77">
        <f>IF(AO45="7",BG45,0)</f>
        <v>0</v>
      </c>
      <c r="AD45" s="77">
        <f>IF(AO45="2",BF45,0)</f>
        <v>0</v>
      </c>
      <c r="AE45" s="77">
        <f>IF(AO45="2",BG45,0)</f>
        <v>0</v>
      </c>
      <c r="AF45" s="77">
        <f>IF(AO45="0",BH45,0)</f>
        <v>0</v>
      </c>
      <c r="AG45" s="71" t="s">
        <v>129</v>
      </c>
      <c r="AH45" s="77">
        <f>IF(AL45=0,J45,0)</f>
        <v>0</v>
      </c>
      <c r="AI45" s="77">
        <f>IF(AL45=15,J45,0)</f>
        <v>0</v>
      </c>
      <c r="AJ45" s="77">
        <f>IF(AL45=21,J45,0)</f>
        <v>0</v>
      </c>
      <c r="AL45" s="77">
        <v>15</v>
      </c>
      <c r="AM45" s="77">
        <f>G45*0</f>
        <v>0</v>
      </c>
      <c r="AN45" s="77">
        <f>G45*(1-0)</f>
        <v>0</v>
      </c>
      <c r="AO45" s="79" t="s">
        <v>132</v>
      </c>
      <c r="AT45" s="77">
        <f>AU45+AV45</f>
        <v>0</v>
      </c>
      <c r="AU45" s="77">
        <f>F45*AM45</f>
        <v>0</v>
      </c>
      <c r="AV45" s="77">
        <f>F45*AN45</f>
        <v>0</v>
      </c>
      <c r="AW45" s="79" t="s">
        <v>222</v>
      </c>
      <c r="AX45" s="79" t="s">
        <v>147</v>
      </c>
      <c r="AY45" s="71" t="s">
        <v>137</v>
      </c>
      <c r="BA45" s="77">
        <f>AU45+AV45</f>
        <v>0</v>
      </c>
      <c r="BB45" s="77">
        <f>G45/(100-BC45)*100</f>
        <v>0</v>
      </c>
      <c r="BC45" s="77">
        <v>0</v>
      </c>
      <c r="BD45" s="77">
        <f>L45</f>
        <v>0</v>
      </c>
      <c r="BF45" s="77">
        <f>F45*AM45</f>
        <v>0</v>
      </c>
      <c r="BG45" s="77">
        <f>F45*AN45</f>
        <v>0</v>
      </c>
      <c r="BH45" s="77">
        <f>F45*G45</f>
        <v>0</v>
      </c>
      <c r="BI45" s="77"/>
      <c r="BJ45" s="77">
        <v>16</v>
      </c>
      <c r="BU45" s="77" t="e">
        <f>#REF!</f>
        <v>#REF!</v>
      </c>
      <c r="BV45" s="70" t="s">
        <v>969</v>
      </c>
    </row>
    <row r="46" spans="1:74" ht="40.5" customHeight="1" x14ac:dyDescent="0.25">
      <c r="A46" s="104"/>
      <c r="B46" s="81" t="s">
        <v>138</v>
      </c>
      <c r="C46" s="303" t="s">
        <v>1001</v>
      </c>
      <c r="D46" s="304"/>
      <c r="E46" s="304"/>
      <c r="F46" s="304"/>
      <c r="G46" s="304"/>
      <c r="H46" s="304"/>
      <c r="I46" s="304"/>
      <c r="J46" s="304"/>
      <c r="K46" s="304"/>
      <c r="L46" s="304"/>
      <c r="M46" s="305"/>
    </row>
    <row r="47" spans="1:74" x14ac:dyDescent="0.25">
      <c r="A47" s="92" t="s">
        <v>209</v>
      </c>
      <c r="B47" s="69" t="s">
        <v>241</v>
      </c>
      <c r="C47" s="306" t="s">
        <v>242</v>
      </c>
      <c r="D47" s="307"/>
      <c r="E47" s="69" t="s">
        <v>177</v>
      </c>
      <c r="F47" s="77">
        <v>10.4</v>
      </c>
      <c r="G47" s="218">
        <v>0</v>
      </c>
      <c r="H47" s="77">
        <f>F47*AM47</f>
        <v>0</v>
      </c>
      <c r="I47" s="77">
        <f>F47*AN47</f>
        <v>0</v>
      </c>
      <c r="J47" s="77">
        <f>F47*G47</f>
        <v>0</v>
      </c>
      <c r="K47" s="77">
        <v>0</v>
      </c>
      <c r="L47" s="77">
        <f>F47*K47</f>
        <v>0</v>
      </c>
      <c r="M47" s="103" t="s">
        <v>35</v>
      </c>
      <c r="X47" s="77">
        <f>IF(AO47="5",BH47,0)</f>
        <v>0</v>
      </c>
      <c r="Z47" s="77">
        <f>IF(AO47="1",BF47,0)</f>
        <v>0</v>
      </c>
      <c r="AA47" s="77">
        <f>IF(AO47="1",BG47,0)</f>
        <v>0</v>
      </c>
      <c r="AB47" s="77">
        <f>IF(AO47="7",BF47,0)</f>
        <v>0</v>
      </c>
      <c r="AC47" s="77">
        <f>IF(AO47="7",BG47,0)</f>
        <v>0</v>
      </c>
      <c r="AD47" s="77">
        <f>IF(AO47="2",BF47,0)</f>
        <v>0</v>
      </c>
      <c r="AE47" s="77">
        <f>IF(AO47="2",BG47,0)</f>
        <v>0</v>
      </c>
      <c r="AF47" s="77">
        <f>IF(AO47="0",BH47,0)</f>
        <v>0</v>
      </c>
      <c r="AG47" s="71" t="s">
        <v>129</v>
      </c>
      <c r="AH47" s="77">
        <f>IF(AL47=0,J47,0)</f>
        <v>0</v>
      </c>
      <c r="AI47" s="77">
        <f>IF(AL47=15,J47,0)</f>
        <v>0</v>
      </c>
      <c r="AJ47" s="77">
        <f>IF(AL47=21,J47,0)</f>
        <v>0</v>
      </c>
      <c r="AL47" s="77">
        <v>15</v>
      </c>
      <c r="AM47" s="77">
        <f>G47*0</f>
        <v>0</v>
      </c>
      <c r="AN47" s="77">
        <f>G47*(1-0)</f>
        <v>0</v>
      </c>
      <c r="AO47" s="79" t="s">
        <v>132</v>
      </c>
      <c r="AT47" s="77">
        <f>AU47+AV47</f>
        <v>0</v>
      </c>
      <c r="AU47" s="77">
        <f>F47*AM47</f>
        <v>0</v>
      </c>
      <c r="AV47" s="77">
        <f>F47*AN47</f>
        <v>0</v>
      </c>
      <c r="AW47" s="79" t="s">
        <v>222</v>
      </c>
      <c r="AX47" s="79" t="s">
        <v>147</v>
      </c>
      <c r="AY47" s="71" t="s">
        <v>137</v>
      </c>
      <c r="BA47" s="77">
        <f>AU47+AV47</f>
        <v>0</v>
      </c>
      <c r="BB47" s="77">
        <f>G47/(100-BC47)*100</f>
        <v>0</v>
      </c>
      <c r="BC47" s="77">
        <v>0</v>
      </c>
      <c r="BD47" s="77">
        <f>L47</f>
        <v>0</v>
      </c>
      <c r="BF47" s="77">
        <f>F47*AM47</f>
        <v>0</v>
      </c>
      <c r="BG47" s="77">
        <f>F47*AN47</f>
        <v>0</v>
      </c>
      <c r="BH47" s="77">
        <f>F47*G47</f>
        <v>0</v>
      </c>
      <c r="BI47" s="77"/>
      <c r="BJ47" s="77">
        <v>16</v>
      </c>
      <c r="BU47" s="77" t="e">
        <f>#REF!</f>
        <v>#REF!</v>
      </c>
      <c r="BV47" s="70" t="s">
        <v>242</v>
      </c>
    </row>
    <row r="48" spans="1:74" ht="40.5" customHeight="1" thickBot="1" x14ac:dyDescent="0.3">
      <c r="A48" s="107"/>
      <c r="B48" s="108" t="s">
        <v>138</v>
      </c>
      <c r="C48" s="308" t="s">
        <v>1002</v>
      </c>
      <c r="D48" s="309"/>
      <c r="E48" s="309"/>
      <c r="F48" s="309"/>
      <c r="G48" s="309"/>
      <c r="H48" s="309"/>
      <c r="I48" s="309"/>
      <c r="J48" s="309"/>
      <c r="K48" s="309"/>
      <c r="L48" s="309"/>
      <c r="M48" s="310"/>
    </row>
    <row r="49" spans="1:74" x14ac:dyDescent="0.25">
      <c r="A49" s="97" t="s">
        <v>129</v>
      </c>
      <c r="B49" s="98" t="s">
        <v>214</v>
      </c>
      <c r="C49" s="318" t="s">
        <v>244</v>
      </c>
      <c r="D49" s="319"/>
      <c r="E49" s="99" t="s">
        <v>87</v>
      </c>
      <c r="F49" s="99" t="s">
        <v>87</v>
      </c>
      <c r="G49" s="99" t="s">
        <v>87</v>
      </c>
      <c r="H49" s="100">
        <f>SUM(H50:H54)</f>
        <v>0</v>
      </c>
      <c r="I49" s="100">
        <f>SUM(I50:I54)</f>
        <v>0</v>
      </c>
      <c r="J49" s="100">
        <f>SUM(J50:J54)</f>
        <v>0</v>
      </c>
      <c r="K49" s="101" t="s">
        <v>129</v>
      </c>
      <c r="L49" s="100">
        <f>SUM(L50:L54)</f>
        <v>4.6240000000000006</v>
      </c>
      <c r="M49" s="102" t="s">
        <v>129</v>
      </c>
      <c r="AG49" s="71" t="s">
        <v>129</v>
      </c>
      <c r="AQ49" s="67">
        <f>SUM(AH50:AH54)</f>
        <v>0</v>
      </c>
      <c r="AR49" s="67">
        <f>SUM(AI50:AI54)</f>
        <v>0</v>
      </c>
      <c r="AS49" s="67">
        <f>SUM(AJ50:AJ54)</f>
        <v>0</v>
      </c>
    </row>
    <row r="50" spans="1:74" x14ac:dyDescent="0.25">
      <c r="A50" s="92" t="s">
        <v>214</v>
      </c>
      <c r="B50" s="69" t="s">
        <v>246</v>
      </c>
      <c r="C50" s="306" t="s">
        <v>247</v>
      </c>
      <c r="D50" s="307"/>
      <c r="E50" s="69" t="s">
        <v>177</v>
      </c>
      <c r="F50" s="77">
        <v>2.72</v>
      </c>
      <c r="G50" s="218">
        <v>0</v>
      </c>
      <c r="H50" s="77">
        <f>F50*AM50</f>
        <v>0</v>
      </c>
      <c r="I50" s="77">
        <f>F50*AN50</f>
        <v>0</v>
      </c>
      <c r="J50" s="77">
        <f>F50*G50</f>
        <v>0</v>
      </c>
      <c r="K50" s="77">
        <v>1.7</v>
      </c>
      <c r="L50" s="77">
        <f>F50*K50</f>
        <v>4.6240000000000006</v>
      </c>
      <c r="M50" s="103" t="s">
        <v>35</v>
      </c>
      <c r="X50" s="77">
        <f>IF(AO50="5",BH50,0)</f>
        <v>0</v>
      </c>
      <c r="Z50" s="77">
        <f>IF(AO50="1",BF50,0)</f>
        <v>0</v>
      </c>
      <c r="AA50" s="77">
        <f>IF(AO50="1",BG50,0)</f>
        <v>0</v>
      </c>
      <c r="AB50" s="77">
        <f>IF(AO50="7",BF50,0)</f>
        <v>0</v>
      </c>
      <c r="AC50" s="77">
        <f>IF(AO50="7",BG50,0)</f>
        <v>0</v>
      </c>
      <c r="AD50" s="77">
        <f>IF(AO50="2",BF50,0)</f>
        <v>0</v>
      </c>
      <c r="AE50" s="77">
        <f>IF(AO50="2",BG50,0)</f>
        <v>0</v>
      </c>
      <c r="AF50" s="77">
        <f>IF(AO50="0",BH50,0)</f>
        <v>0</v>
      </c>
      <c r="AG50" s="71" t="s">
        <v>129</v>
      </c>
      <c r="AH50" s="77">
        <f>IF(AL50=0,J50,0)</f>
        <v>0</v>
      </c>
      <c r="AI50" s="77">
        <f>IF(AL50=15,J50,0)</f>
        <v>0</v>
      </c>
      <c r="AJ50" s="77">
        <f>IF(AL50=21,J50,0)</f>
        <v>0</v>
      </c>
      <c r="AL50" s="77">
        <v>15</v>
      </c>
      <c r="AM50" s="77">
        <f>G50*0.512977349</f>
        <v>0</v>
      </c>
      <c r="AN50" s="77">
        <f>G50*(1-0.512977349)</f>
        <v>0</v>
      </c>
      <c r="AO50" s="79" t="s">
        <v>132</v>
      </c>
      <c r="AT50" s="77">
        <f>AU50+AV50</f>
        <v>0</v>
      </c>
      <c r="AU50" s="77">
        <f>F50*AM50</f>
        <v>0</v>
      </c>
      <c r="AV50" s="77">
        <f>F50*AN50</f>
        <v>0</v>
      </c>
      <c r="AW50" s="79" t="s">
        <v>248</v>
      </c>
      <c r="AX50" s="79" t="s">
        <v>147</v>
      </c>
      <c r="AY50" s="71" t="s">
        <v>137</v>
      </c>
      <c r="BA50" s="77">
        <f>AU50+AV50</f>
        <v>0</v>
      </c>
      <c r="BB50" s="77">
        <f>G50/(100-BC50)*100</f>
        <v>0</v>
      </c>
      <c r="BC50" s="77">
        <v>0</v>
      </c>
      <c r="BD50" s="77">
        <f>L50</f>
        <v>4.6240000000000006</v>
      </c>
      <c r="BF50" s="77">
        <f>F50*AM50</f>
        <v>0</v>
      </c>
      <c r="BG50" s="77">
        <f>F50*AN50</f>
        <v>0</v>
      </c>
      <c r="BH50" s="77">
        <f>F50*G50</f>
        <v>0</v>
      </c>
      <c r="BI50" s="77"/>
      <c r="BJ50" s="77">
        <v>17</v>
      </c>
      <c r="BU50" s="77" t="e">
        <f>#REF!</f>
        <v>#REF!</v>
      </c>
      <c r="BV50" s="70" t="s">
        <v>247</v>
      </c>
    </row>
    <row r="51" spans="1:74" ht="54" customHeight="1" x14ac:dyDescent="0.25">
      <c r="A51" s="104"/>
      <c r="B51" s="81" t="s">
        <v>138</v>
      </c>
      <c r="C51" s="303" t="s">
        <v>1003</v>
      </c>
      <c r="D51" s="304"/>
      <c r="E51" s="304"/>
      <c r="F51" s="304"/>
      <c r="G51" s="304"/>
      <c r="H51" s="304"/>
      <c r="I51" s="304"/>
      <c r="J51" s="304"/>
      <c r="K51" s="304"/>
      <c r="L51" s="304"/>
      <c r="M51" s="305"/>
    </row>
    <row r="52" spans="1:74" x14ac:dyDescent="0.25">
      <c r="A52" s="92" t="s">
        <v>219</v>
      </c>
      <c r="B52" s="69" t="s">
        <v>251</v>
      </c>
      <c r="C52" s="306" t="s">
        <v>252</v>
      </c>
      <c r="D52" s="307"/>
      <c r="E52" s="69" t="s">
        <v>177</v>
      </c>
      <c r="F52" s="77">
        <v>2.72</v>
      </c>
      <c r="G52" s="218">
        <v>0</v>
      </c>
      <c r="H52" s="77">
        <f>F52*AM52</f>
        <v>0</v>
      </c>
      <c r="I52" s="77">
        <f>F52*AN52</f>
        <v>0</v>
      </c>
      <c r="J52" s="77">
        <f>F52*G52</f>
        <v>0</v>
      </c>
      <c r="K52" s="77">
        <v>0</v>
      </c>
      <c r="L52" s="77">
        <f>F52*K52</f>
        <v>0</v>
      </c>
      <c r="M52" s="103"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15</v>
      </c>
      <c r="AM52" s="77">
        <f>G52*0</f>
        <v>0</v>
      </c>
      <c r="AN52" s="77">
        <f>G52*(1-0)</f>
        <v>0</v>
      </c>
      <c r="AO52" s="79" t="s">
        <v>132</v>
      </c>
      <c r="AT52" s="77">
        <f>AU52+AV52</f>
        <v>0</v>
      </c>
      <c r="AU52" s="77">
        <f>F52*AM52</f>
        <v>0</v>
      </c>
      <c r="AV52" s="77">
        <f>F52*AN52</f>
        <v>0</v>
      </c>
      <c r="AW52" s="79" t="s">
        <v>248</v>
      </c>
      <c r="AX52" s="79" t="s">
        <v>147</v>
      </c>
      <c r="AY52" s="71" t="s">
        <v>137</v>
      </c>
      <c r="BA52" s="77">
        <f>AU52+AV52</f>
        <v>0</v>
      </c>
      <c r="BB52" s="77">
        <f>G52/(100-BC52)*100</f>
        <v>0</v>
      </c>
      <c r="BC52" s="77">
        <v>0</v>
      </c>
      <c r="BD52" s="77">
        <f>L52</f>
        <v>0</v>
      </c>
      <c r="BF52" s="77">
        <f>F52*AM52</f>
        <v>0</v>
      </c>
      <c r="BG52" s="77">
        <f>F52*AN52</f>
        <v>0</v>
      </c>
      <c r="BH52" s="77">
        <f>F52*G52</f>
        <v>0</v>
      </c>
      <c r="BI52" s="77"/>
      <c r="BJ52" s="77">
        <v>17</v>
      </c>
      <c r="BU52" s="77" t="e">
        <f>#REF!</f>
        <v>#REF!</v>
      </c>
      <c r="BV52" s="70" t="s">
        <v>252</v>
      </c>
    </row>
    <row r="53" spans="1:74" ht="40.5" customHeight="1" x14ac:dyDescent="0.25">
      <c r="A53" s="104"/>
      <c r="B53" s="81" t="s">
        <v>138</v>
      </c>
      <c r="C53" s="303" t="s">
        <v>1004</v>
      </c>
      <c r="D53" s="304"/>
      <c r="E53" s="304"/>
      <c r="F53" s="304"/>
      <c r="G53" s="304"/>
      <c r="H53" s="304"/>
      <c r="I53" s="304"/>
      <c r="J53" s="304"/>
      <c r="K53" s="304"/>
      <c r="L53" s="304"/>
      <c r="M53" s="305"/>
    </row>
    <row r="54" spans="1:74" x14ac:dyDescent="0.25">
      <c r="A54" s="92" t="s">
        <v>224</v>
      </c>
      <c r="B54" s="69" t="s">
        <v>254</v>
      </c>
      <c r="C54" s="306" t="s">
        <v>255</v>
      </c>
      <c r="D54" s="307"/>
      <c r="E54" s="69" t="s">
        <v>177</v>
      </c>
      <c r="F54" s="77">
        <v>5.2</v>
      </c>
      <c r="G54" s="218">
        <v>0</v>
      </c>
      <c r="H54" s="77">
        <f>F54*AM54</f>
        <v>0</v>
      </c>
      <c r="I54" s="77">
        <f>F54*AN54</f>
        <v>0</v>
      </c>
      <c r="J54" s="77">
        <f>F54*G54</f>
        <v>0</v>
      </c>
      <c r="K54" s="77">
        <v>0</v>
      </c>
      <c r="L54" s="77">
        <f>F54*K54</f>
        <v>0</v>
      </c>
      <c r="M54" s="103"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f>
        <v>0</v>
      </c>
      <c r="AN54" s="77">
        <f>G54*(1-0)</f>
        <v>0</v>
      </c>
      <c r="AO54" s="79" t="s">
        <v>132</v>
      </c>
      <c r="AT54" s="77">
        <f>AU54+AV54</f>
        <v>0</v>
      </c>
      <c r="AU54" s="77">
        <f>F54*AM54</f>
        <v>0</v>
      </c>
      <c r="AV54" s="77">
        <f>F54*AN54</f>
        <v>0</v>
      </c>
      <c r="AW54" s="79" t="s">
        <v>248</v>
      </c>
      <c r="AX54" s="79" t="s">
        <v>147</v>
      </c>
      <c r="AY54" s="71" t="s">
        <v>137</v>
      </c>
      <c r="BA54" s="77">
        <f>AU54+AV54</f>
        <v>0</v>
      </c>
      <c r="BB54" s="77">
        <f>G54/(100-BC54)*100</f>
        <v>0</v>
      </c>
      <c r="BC54" s="77">
        <v>0</v>
      </c>
      <c r="BD54" s="77">
        <f>L54</f>
        <v>0</v>
      </c>
      <c r="BF54" s="77">
        <f>F54*AM54</f>
        <v>0</v>
      </c>
      <c r="BG54" s="77">
        <f>F54*AN54</f>
        <v>0</v>
      </c>
      <c r="BH54" s="77">
        <f>F54*G54</f>
        <v>0</v>
      </c>
      <c r="BI54" s="77"/>
      <c r="BJ54" s="77">
        <v>17</v>
      </c>
      <c r="BU54" s="77" t="e">
        <f>#REF!</f>
        <v>#REF!</v>
      </c>
      <c r="BV54" s="70" t="s">
        <v>255</v>
      </c>
    </row>
    <row r="55" spans="1:74" ht="94.5" customHeight="1" x14ac:dyDescent="0.25">
      <c r="A55" s="104"/>
      <c r="B55" s="81" t="s">
        <v>138</v>
      </c>
      <c r="C55" s="303" t="s">
        <v>1005</v>
      </c>
      <c r="D55" s="304"/>
      <c r="E55" s="304"/>
      <c r="F55" s="304"/>
      <c r="G55" s="304"/>
      <c r="H55" s="304"/>
      <c r="I55" s="304"/>
      <c r="J55" s="304"/>
      <c r="K55" s="304"/>
      <c r="L55" s="304"/>
      <c r="M55" s="305"/>
    </row>
    <row r="56" spans="1:74" x14ac:dyDescent="0.25">
      <c r="A56" s="105" t="s">
        <v>129</v>
      </c>
      <c r="B56" s="74" t="s">
        <v>224</v>
      </c>
      <c r="C56" s="314" t="s">
        <v>257</v>
      </c>
      <c r="D56" s="315"/>
      <c r="E56" s="75" t="s">
        <v>87</v>
      </c>
      <c r="F56" s="75" t="s">
        <v>87</v>
      </c>
      <c r="G56" s="75" t="s">
        <v>87</v>
      </c>
      <c r="H56" s="67">
        <f>SUM(H57:H57)</f>
        <v>0</v>
      </c>
      <c r="I56" s="67">
        <f>SUM(I57:I57)</f>
        <v>0</v>
      </c>
      <c r="J56" s="67">
        <f>SUM(J57:J57)</f>
        <v>0</v>
      </c>
      <c r="K56" s="71" t="s">
        <v>129</v>
      </c>
      <c r="L56" s="67">
        <f>SUM(L57:L57)</f>
        <v>0</v>
      </c>
      <c r="M56" s="106" t="s">
        <v>129</v>
      </c>
      <c r="AG56" s="71" t="s">
        <v>129</v>
      </c>
      <c r="AQ56" s="67">
        <f>SUM(AH57:AH57)</f>
        <v>0</v>
      </c>
      <c r="AR56" s="67">
        <f>SUM(AI57:AI57)</f>
        <v>0</v>
      </c>
      <c r="AS56" s="67">
        <f>SUM(AJ57:AJ57)</f>
        <v>0</v>
      </c>
    </row>
    <row r="57" spans="1:74" x14ac:dyDescent="0.25">
      <c r="A57" s="92" t="s">
        <v>228</v>
      </c>
      <c r="B57" s="69" t="s">
        <v>259</v>
      </c>
      <c r="C57" s="306" t="s">
        <v>260</v>
      </c>
      <c r="D57" s="307"/>
      <c r="E57" s="69" t="s">
        <v>177</v>
      </c>
      <c r="F57" s="77">
        <v>3.32</v>
      </c>
      <c r="G57" s="218">
        <v>0</v>
      </c>
      <c r="H57" s="77">
        <f>F57*AM57</f>
        <v>0</v>
      </c>
      <c r="I57" s="77">
        <f>F57*AN57</f>
        <v>0</v>
      </c>
      <c r="J57" s="77">
        <f>F57*G57</f>
        <v>0</v>
      </c>
      <c r="K57" s="77">
        <v>0</v>
      </c>
      <c r="L57" s="77">
        <f>F57*K57</f>
        <v>0</v>
      </c>
      <c r="M57" s="103" t="s">
        <v>35</v>
      </c>
      <c r="X57" s="77">
        <f>IF(AO57="5",BH57,0)</f>
        <v>0</v>
      </c>
      <c r="Z57" s="77">
        <f>IF(AO57="1",BF57,0)</f>
        <v>0</v>
      </c>
      <c r="AA57" s="77">
        <f>IF(AO57="1",BG57,0)</f>
        <v>0</v>
      </c>
      <c r="AB57" s="77">
        <f>IF(AO57="7",BF57,0)</f>
        <v>0</v>
      </c>
      <c r="AC57" s="77">
        <f>IF(AO57="7",BG57,0)</f>
        <v>0</v>
      </c>
      <c r="AD57" s="77">
        <f>IF(AO57="2",BF57,0)</f>
        <v>0</v>
      </c>
      <c r="AE57" s="77">
        <f>IF(AO57="2",BG57,0)</f>
        <v>0</v>
      </c>
      <c r="AF57" s="77">
        <f>IF(AO57="0",BH57,0)</f>
        <v>0</v>
      </c>
      <c r="AG57" s="71" t="s">
        <v>129</v>
      </c>
      <c r="AH57" s="77">
        <f>IF(AL57=0,J57,0)</f>
        <v>0</v>
      </c>
      <c r="AI57" s="77">
        <f>IF(AL57=15,J57,0)</f>
        <v>0</v>
      </c>
      <c r="AJ57" s="77">
        <f>IF(AL57=21,J57,0)</f>
        <v>0</v>
      </c>
      <c r="AL57" s="77">
        <v>15</v>
      </c>
      <c r="AM57" s="77">
        <f>G57*0</f>
        <v>0</v>
      </c>
      <c r="AN57" s="77">
        <f>G57*(1-0)</f>
        <v>0</v>
      </c>
      <c r="AO57" s="79" t="s">
        <v>132</v>
      </c>
      <c r="AT57" s="77">
        <f>AU57+AV57</f>
        <v>0</v>
      </c>
      <c r="AU57" s="77">
        <f>F57*AM57</f>
        <v>0</v>
      </c>
      <c r="AV57" s="77">
        <f>F57*AN57</f>
        <v>0</v>
      </c>
      <c r="AW57" s="79" t="s">
        <v>261</v>
      </c>
      <c r="AX57" s="79" t="s">
        <v>147</v>
      </c>
      <c r="AY57" s="71" t="s">
        <v>137</v>
      </c>
      <c r="BA57" s="77">
        <f>AU57+AV57</f>
        <v>0</v>
      </c>
      <c r="BB57" s="77">
        <f>G57/(100-BC57)*100</f>
        <v>0</v>
      </c>
      <c r="BC57" s="77">
        <v>0</v>
      </c>
      <c r="BD57" s="77">
        <f>L57</f>
        <v>0</v>
      </c>
      <c r="BF57" s="77">
        <f>F57*AM57</f>
        <v>0</v>
      </c>
      <c r="BG57" s="77">
        <f>F57*AN57</f>
        <v>0</v>
      </c>
      <c r="BH57" s="77">
        <f>F57*G57</f>
        <v>0</v>
      </c>
      <c r="BI57" s="77"/>
      <c r="BJ57" s="77">
        <v>19</v>
      </c>
      <c r="BU57" s="77" t="e">
        <f>#REF!</f>
        <v>#REF!</v>
      </c>
      <c r="BV57" s="70" t="s">
        <v>260</v>
      </c>
    </row>
    <row r="58" spans="1:74" ht="13.5" customHeight="1" x14ac:dyDescent="0.25">
      <c r="A58" s="104"/>
      <c r="B58" s="81" t="s">
        <v>138</v>
      </c>
      <c r="C58" s="303" t="s">
        <v>515</v>
      </c>
      <c r="D58" s="304"/>
      <c r="E58" s="304"/>
      <c r="F58" s="304"/>
      <c r="G58" s="304"/>
      <c r="H58" s="304"/>
      <c r="I58" s="304"/>
      <c r="J58" s="304"/>
      <c r="K58" s="304"/>
      <c r="L58" s="304"/>
      <c r="M58" s="305"/>
    </row>
    <row r="59" spans="1:74" x14ac:dyDescent="0.25">
      <c r="A59" s="105" t="s">
        <v>129</v>
      </c>
      <c r="B59" s="74" t="s">
        <v>232</v>
      </c>
      <c r="C59" s="314" t="s">
        <v>267</v>
      </c>
      <c r="D59" s="315"/>
      <c r="E59" s="75" t="s">
        <v>87</v>
      </c>
      <c r="F59" s="75" t="s">
        <v>87</v>
      </c>
      <c r="G59" s="75" t="s">
        <v>87</v>
      </c>
      <c r="H59" s="67">
        <f>SUM(H60:H60)</f>
        <v>0</v>
      </c>
      <c r="I59" s="67">
        <f>SUM(I60:I60)</f>
        <v>0</v>
      </c>
      <c r="J59" s="67">
        <f>SUM(J60:J60)</f>
        <v>0</v>
      </c>
      <c r="K59" s="71" t="s">
        <v>129</v>
      </c>
      <c r="L59" s="67">
        <f>SUM(L60:L60)</f>
        <v>0</v>
      </c>
      <c r="M59" s="106" t="s">
        <v>129</v>
      </c>
      <c r="AG59" s="71" t="s">
        <v>129</v>
      </c>
      <c r="AQ59" s="67">
        <f>SUM(AH60:AH60)</f>
        <v>0</v>
      </c>
      <c r="AR59" s="67">
        <f>SUM(AI60:AI60)</f>
        <v>0</v>
      </c>
      <c r="AS59" s="67">
        <f>SUM(AJ60:AJ60)</f>
        <v>0</v>
      </c>
    </row>
    <row r="60" spans="1:74" x14ac:dyDescent="0.25">
      <c r="A60" s="92" t="s">
        <v>232</v>
      </c>
      <c r="B60" s="69" t="s">
        <v>927</v>
      </c>
      <c r="C60" s="306" t="s">
        <v>270</v>
      </c>
      <c r="D60" s="307"/>
      <c r="E60" s="69" t="s">
        <v>166</v>
      </c>
      <c r="F60" s="77">
        <v>5.28</v>
      </c>
      <c r="G60" s="218">
        <v>0</v>
      </c>
      <c r="H60" s="77">
        <f>F60*AM60</f>
        <v>0</v>
      </c>
      <c r="I60" s="77">
        <f>F60*AN60</f>
        <v>0</v>
      </c>
      <c r="J60" s="77">
        <f>F60*G60</f>
        <v>0</v>
      </c>
      <c r="K60" s="77">
        <v>0</v>
      </c>
      <c r="L60" s="77">
        <f>F60*K60</f>
        <v>0</v>
      </c>
      <c r="M60" s="103" t="s">
        <v>35</v>
      </c>
      <c r="X60" s="77">
        <f>IF(AO60="5",BH60,0)</f>
        <v>0</v>
      </c>
      <c r="Z60" s="77">
        <f>IF(AO60="1",BF60,0)</f>
        <v>0</v>
      </c>
      <c r="AA60" s="77">
        <f>IF(AO60="1",BG60,0)</f>
        <v>0</v>
      </c>
      <c r="AB60" s="77">
        <f>IF(AO60="7",BF60,0)</f>
        <v>0</v>
      </c>
      <c r="AC60" s="77">
        <f>IF(AO60="7",BG60,0)</f>
        <v>0</v>
      </c>
      <c r="AD60" s="77">
        <f>IF(AO60="2",BF60,0)</f>
        <v>0</v>
      </c>
      <c r="AE60" s="77">
        <f>IF(AO60="2",BG60,0)</f>
        <v>0</v>
      </c>
      <c r="AF60" s="77">
        <f>IF(AO60="0",BH60,0)</f>
        <v>0</v>
      </c>
      <c r="AG60" s="71" t="s">
        <v>129</v>
      </c>
      <c r="AH60" s="77">
        <f>IF(AL60=0,J60,0)</f>
        <v>0</v>
      </c>
      <c r="AI60" s="77">
        <f>IF(AL60=15,J60,0)</f>
        <v>0</v>
      </c>
      <c r="AJ60" s="77">
        <f>IF(AL60=21,J60,0)</f>
        <v>0</v>
      </c>
      <c r="AL60" s="77">
        <v>15</v>
      </c>
      <c r="AM60" s="77">
        <f>G60*0</f>
        <v>0</v>
      </c>
      <c r="AN60" s="77">
        <f>G60*(1-0)</f>
        <v>0</v>
      </c>
      <c r="AO60" s="79" t="s">
        <v>132</v>
      </c>
      <c r="AT60" s="77">
        <f>AU60+AV60</f>
        <v>0</v>
      </c>
      <c r="AU60" s="77">
        <f>F60*AM60</f>
        <v>0</v>
      </c>
      <c r="AV60" s="77">
        <f>F60*AN60</f>
        <v>0</v>
      </c>
      <c r="AW60" s="79" t="s">
        <v>271</v>
      </c>
      <c r="AX60" s="79" t="s">
        <v>272</v>
      </c>
      <c r="AY60" s="71" t="s">
        <v>137</v>
      </c>
      <c r="BA60" s="77">
        <f>AU60+AV60</f>
        <v>0</v>
      </c>
      <c r="BB60" s="77">
        <f>G60/(100-BC60)*100</f>
        <v>0</v>
      </c>
      <c r="BC60" s="77">
        <v>0</v>
      </c>
      <c r="BD60" s="77">
        <f>L60</f>
        <v>0</v>
      </c>
      <c r="BF60" s="77">
        <f>F60*AM60</f>
        <v>0</v>
      </c>
      <c r="BG60" s="77">
        <f>F60*AN60</f>
        <v>0</v>
      </c>
      <c r="BH60" s="77">
        <f>F60*G60</f>
        <v>0</v>
      </c>
      <c r="BI60" s="77"/>
      <c r="BJ60" s="77">
        <v>21</v>
      </c>
      <c r="BU60" s="77" t="e">
        <f>#REF!</f>
        <v>#REF!</v>
      </c>
      <c r="BV60" s="70" t="s">
        <v>270</v>
      </c>
    </row>
    <row r="61" spans="1:74" ht="40.5" customHeight="1" x14ac:dyDescent="0.25">
      <c r="A61" s="104"/>
      <c r="B61" s="81" t="s">
        <v>138</v>
      </c>
      <c r="C61" s="303" t="s">
        <v>1006</v>
      </c>
      <c r="D61" s="304"/>
      <c r="E61" s="304"/>
      <c r="F61" s="304"/>
      <c r="G61" s="304"/>
      <c r="H61" s="304"/>
      <c r="I61" s="304"/>
      <c r="J61" s="304"/>
      <c r="K61" s="304"/>
      <c r="L61" s="304"/>
      <c r="M61" s="305"/>
    </row>
    <row r="62" spans="1:74" x14ac:dyDescent="0.25">
      <c r="A62" s="105" t="s">
        <v>129</v>
      </c>
      <c r="B62" s="74" t="s">
        <v>288</v>
      </c>
      <c r="C62" s="314" t="s">
        <v>289</v>
      </c>
      <c r="D62" s="315"/>
      <c r="E62" s="75" t="s">
        <v>87</v>
      </c>
      <c r="F62" s="75" t="s">
        <v>87</v>
      </c>
      <c r="G62" s="75" t="s">
        <v>87</v>
      </c>
      <c r="H62" s="67">
        <f>SUM(H63:H63)</f>
        <v>0</v>
      </c>
      <c r="I62" s="67">
        <f>SUM(I63:I63)</f>
        <v>0</v>
      </c>
      <c r="J62" s="67">
        <f>SUM(J63:J63)</f>
        <v>0</v>
      </c>
      <c r="K62" s="71" t="s">
        <v>129</v>
      </c>
      <c r="L62" s="67">
        <f>SUM(L63:L63)</f>
        <v>1.4937083000000002</v>
      </c>
      <c r="M62" s="106" t="s">
        <v>129</v>
      </c>
      <c r="AG62" s="71" t="s">
        <v>129</v>
      </c>
      <c r="AQ62" s="67">
        <f>SUM(AH63:AH63)</f>
        <v>0</v>
      </c>
      <c r="AR62" s="67">
        <f>SUM(AI63:AI63)</f>
        <v>0</v>
      </c>
      <c r="AS62" s="67">
        <f>SUM(AJ63:AJ63)</f>
        <v>0</v>
      </c>
    </row>
    <row r="63" spans="1:74" x14ac:dyDescent="0.25">
      <c r="A63" s="92" t="s">
        <v>236</v>
      </c>
      <c r="B63" s="69" t="s">
        <v>291</v>
      </c>
      <c r="C63" s="306" t="s">
        <v>524</v>
      </c>
      <c r="D63" s="307"/>
      <c r="E63" s="69" t="s">
        <v>177</v>
      </c>
      <c r="F63" s="77">
        <v>0.79</v>
      </c>
      <c r="G63" s="218">
        <v>0</v>
      </c>
      <c r="H63" s="77">
        <f>F63*AM63</f>
        <v>0</v>
      </c>
      <c r="I63" s="77">
        <f>F63*AN63</f>
        <v>0</v>
      </c>
      <c r="J63" s="77">
        <f>F63*G63</f>
        <v>0</v>
      </c>
      <c r="K63" s="77">
        <v>1.8907700000000001</v>
      </c>
      <c r="L63" s="77">
        <f>F63*K63</f>
        <v>1.4937083000000002</v>
      </c>
      <c r="M63" s="103" t="s">
        <v>35</v>
      </c>
      <c r="X63" s="77">
        <f>IF(AO63="5",BH63,0)</f>
        <v>0</v>
      </c>
      <c r="Z63" s="77">
        <f>IF(AO63="1",BF63,0)</f>
        <v>0</v>
      </c>
      <c r="AA63" s="77">
        <f>IF(AO63="1",BG63,0)</f>
        <v>0</v>
      </c>
      <c r="AB63" s="77">
        <f>IF(AO63="7",BF63,0)</f>
        <v>0</v>
      </c>
      <c r="AC63" s="77">
        <f>IF(AO63="7",BG63,0)</f>
        <v>0</v>
      </c>
      <c r="AD63" s="77">
        <f>IF(AO63="2",BF63,0)</f>
        <v>0</v>
      </c>
      <c r="AE63" s="77">
        <f>IF(AO63="2",BG63,0)</f>
        <v>0</v>
      </c>
      <c r="AF63" s="77">
        <f>IF(AO63="0",BH63,0)</f>
        <v>0</v>
      </c>
      <c r="AG63" s="71" t="s">
        <v>129</v>
      </c>
      <c r="AH63" s="77">
        <f>IF(AL63=0,J63,0)</f>
        <v>0</v>
      </c>
      <c r="AI63" s="77">
        <f>IF(AL63=15,J63,0)</f>
        <v>0</v>
      </c>
      <c r="AJ63" s="77">
        <f>IF(AL63=21,J63,0)</f>
        <v>0</v>
      </c>
      <c r="AL63" s="77">
        <v>15</v>
      </c>
      <c r="AM63" s="77">
        <f>G63*0.487561495</f>
        <v>0</v>
      </c>
      <c r="AN63" s="77">
        <f>G63*(1-0.487561495)</f>
        <v>0</v>
      </c>
      <c r="AO63" s="79" t="s">
        <v>132</v>
      </c>
      <c r="AT63" s="77">
        <f>AU63+AV63</f>
        <v>0</v>
      </c>
      <c r="AU63" s="77">
        <f>F63*AM63</f>
        <v>0</v>
      </c>
      <c r="AV63" s="77">
        <f>F63*AN63</f>
        <v>0</v>
      </c>
      <c r="AW63" s="79" t="s">
        <v>293</v>
      </c>
      <c r="AX63" s="79" t="s">
        <v>294</v>
      </c>
      <c r="AY63" s="71" t="s">
        <v>137</v>
      </c>
      <c r="BA63" s="77">
        <f>AU63+AV63</f>
        <v>0</v>
      </c>
      <c r="BB63" s="77">
        <f>G63/(100-BC63)*100</f>
        <v>0</v>
      </c>
      <c r="BC63" s="77">
        <v>0</v>
      </c>
      <c r="BD63" s="77">
        <f>L63</f>
        <v>1.4937083000000002</v>
      </c>
      <c r="BF63" s="77">
        <f>F63*AM63</f>
        <v>0</v>
      </c>
      <c r="BG63" s="77">
        <f>F63*AN63</f>
        <v>0</v>
      </c>
      <c r="BH63" s="77">
        <f>F63*G63</f>
        <v>0</v>
      </c>
      <c r="BI63" s="77"/>
      <c r="BJ63" s="77">
        <v>45</v>
      </c>
      <c r="BU63" s="77" t="e">
        <f>#REF!</f>
        <v>#REF!</v>
      </c>
      <c r="BV63" s="70" t="s">
        <v>524</v>
      </c>
    </row>
    <row r="64" spans="1:74" ht="67.5" customHeight="1" x14ac:dyDescent="0.25">
      <c r="A64" s="104"/>
      <c r="B64" s="81" t="s">
        <v>138</v>
      </c>
      <c r="C64" s="303" t="s">
        <v>1007</v>
      </c>
      <c r="D64" s="304"/>
      <c r="E64" s="304"/>
      <c r="F64" s="304"/>
      <c r="G64" s="304"/>
      <c r="H64" s="304"/>
      <c r="I64" s="304"/>
      <c r="J64" s="304"/>
      <c r="K64" s="304"/>
      <c r="L64" s="304"/>
      <c r="M64" s="305"/>
    </row>
    <row r="65" spans="1:74" x14ac:dyDescent="0.25">
      <c r="A65" s="105" t="s">
        <v>129</v>
      </c>
      <c r="B65" s="74" t="s">
        <v>296</v>
      </c>
      <c r="C65" s="314" t="s">
        <v>297</v>
      </c>
      <c r="D65" s="315"/>
      <c r="E65" s="75" t="s">
        <v>87</v>
      </c>
      <c r="F65" s="75" t="s">
        <v>87</v>
      </c>
      <c r="G65" s="75" t="s">
        <v>87</v>
      </c>
      <c r="H65" s="67">
        <f>SUM(H66:H72)</f>
        <v>0</v>
      </c>
      <c r="I65" s="67">
        <f>SUM(I66:I72)</f>
        <v>0</v>
      </c>
      <c r="J65" s="67">
        <f>SUM(J66:J72)</f>
        <v>0</v>
      </c>
      <c r="K65" s="71" t="s">
        <v>129</v>
      </c>
      <c r="L65" s="67">
        <f>SUM(L66:L72)</f>
        <v>9.7693904000000007</v>
      </c>
      <c r="M65" s="106" t="s">
        <v>129</v>
      </c>
      <c r="AG65" s="71" t="s">
        <v>129</v>
      </c>
      <c r="AQ65" s="67">
        <f>SUM(AH66:AH72)</f>
        <v>0</v>
      </c>
      <c r="AR65" s="67">
        <f>SUM(AI66:AI72)</f>
        <v>0</v>
      </c>
      <c r="AS65" s="67">
        <f>SUM(AJ66:AJ72)</f>
        <v>0</v>
      </c>
    </row>
    <row r="66" spans="1:74" x14ac:dyDescent="0.25">
      <c r="A66" s="92" t="s">
        <v>240</v>
      </c>
      <c r="B66" s="69" t="s">
        <v>299</v>
      </c>
      <c r="C66" s="306" t="s">
        <v>300</v>
      </c>
      <c r="D66" s="307"/>
      <c r="E66" s="69" t="s">
        <v>166</v>
      </c>
      <c r="F66" s="77">
        <v>5.26</v>
      </c>
      <c r="G66" s="218">
        <v>0</v>
      </c>
      <c r="H66" s="77">
        <f>F66*AM66</f>
        <v>0</v>
      </c>
      <c r="I66" s="77">
        <f>F66*AN66</f>
        <v>0</v>
      </c>
      <c r="J66" s="77">
        <f>F66*G66</f>
        <v>0</v>
      </c>
      <c r="K66" s="77">
        <v>0.46</v>
      </c>
      <c r="L66" s="77">
        <f>F66*K66</f>
        <v>2.4196</v>
      </c>
      <c r="M66" s="103" t="s">
        <v>35</v>
      </c>
      <c r="X66" s="77">
        <f>IF(AO66="5",BH66,0)</f>
        <v>0</v>
      </c>
      <c r="Z66" s="77">
        <f>IF(AO66="1",BF66,0)</f>
        <v>0</v>
      </c>
      <c r="AA66" s="77">
        <f>IF(AO66="1",BG66,0)</f>
        <v>0</v>
      </c>
      <c r="AB66" s="77">
        <f>IF(AO66="7",BF66,0)</f>
        <v>0</v>
      </c>
      <c r="AC66" s="77">
        <f>IF(AO66="7",BG66,0)</f>
        <v>0</v>
      </c>
      <c r="AD66" s="77">
        <f>IF(AO66="2",BF66,0)</f>
        <v>0</v>
      </c>
      <c r="AE66" s="77">
        <f>IF(AO66="2",BG66,0)</f>
        <v>0</v>
      </c>
      <c r="AF66" s="77">
        <f>IF(AO66="0",BH66,0)</f>
        <v>0</v>
      </c>
      <c r="AG66" s="71" t="s">
        <v>129</v>
      </c>
      <c r="AH66" s="77">
        <f>IF(AL66=0,J66,0)</f>
        <v>0</v>
      </c>
      <c r="AI66" s="77">
        <f>IF(AL66=15,J66,0)</f>
        <v>0</v>
      </c>
      <c r="AJ66" s="77">
        <f>IF(AL66=21,J66,0)</f>
        <v>0</v>
      </c>
      <c r="AL66" s="77">
        <v>15</v>
      </c>
      <c r="AM66" s="77">
        <f>G66*0.854811853</f>
        <v>0</v>
      </c>
      <c r="AN66" s="77">
        <f>G66*(1-0.854811853)</f>
        <v>0</v>
      </c>
      <c r="AO66" s="79" t="s">
        <v>132</v>
      </c>
      <c r="AT66" s="77">
        <f>AU66+AV66</f>
        <v>0</v>
      </c>
      <c r="AU66" s="77">
        <f>F66*AM66</f>
        <v>0</v>
      </c>
      <c r="AV66" s="77">
        <f>F66*AN66</f>
        <v>0</v>
      </c>
      <c r="AW66" s="79" t="s">
        <v>301</v>
      </c>
      <c r="AX66" s="79" t="s">
        <v>302</v>
      </c>
      <c r="AY66" s="71" t="s">
        <v>137</v>
      </c>
      <c r="BA66" s="77">
        <f>AU66+AV66</f>
        <v>0</v>
      </c>
      <c r="BB66" s="77">
        <f>G66/(100-BC66)*100</f>
        <v>0</v>
      </c>
      <c r="BC66" s="77">
        <v>0</v>
      </c>
      <c r="BD66" s="77">
        <f>L66</f>
        <v>2.4196</v>
      </c>
      <c r="BF66" s="77">
        <f>F66*AM66</f>
        <v>0</v>
      </c>
      <c r="BG66" s="77">
        <f>F66*AN66</f>
        <v>0</v>
      </c>
      <c r="BH66" s="77">
        <f>F66*G66</f>
        <v>0</v>
      </c>
      <c r="BI66" s="77"/>
      <c r="BJ66" s="77">
        <v>56</v>
      </c>
      <c r="BU66" s="77" t="e">
        <f>#REF!</f>
        <v>#REF!</v>
      </c>
      <c r="BV66" s="70" t="s">
        <v>300</v>
      </c>
    </row>
    <row r="67" spans="1:74" ht="40.5" customHeight="1" x14ac:dyDescent="0.25">
      <c r="A67" s="104"/>
      <c r="B67" s="81" t="s">
        <v>138</v>
      </c>
      <c r="C67" s="303" t="s">
        <v>979</v>
      </c>
      <c r="D67" s="304"/>
      <c r="E67" s="304"/>
      <c r="F67" s="304"/>
      <c r="G67" s="304"/>
      <c r="H67" s="304"/>
      <c r="I67" s="304"/>
      <c r="J67" s="304"/>
      <c r="K67" s="304"/>
      <c r="L67" s="304"/>
      <c r="M67" s="305"/>
    </row>
    <row r="68" spans="1:74" x14ac:dyDescent="0.25">
      <c r="A68" s="92" t="s">
        <v>245</v>
      </c>
      <c r="B68" s="69" t="s">
        <v>305</v>
      </c>
      <c r="C68" s="306" t="s">
        <v>306</v>
      </c>
      <c r="D68" s="307"/>
      <c r="E68" s="69" t="s">
        <v>166</v>
      </c>
      <c r="F68" s="77">
        <v>5.48</v>
      </c>
      <c r="G68" s="218">
        <v>0</v>
      </c>
      <c r="H68" s="77">
        <f>F68*AM68</f>
        <v>0</v>
      </c>
      <c r="I68" s="77">
        <f>F68*AN68</f>
        <v>0</v>
      </c>
      <c r="J68" s="77">
        <f>F68*G68</f>
        <v>0</v>
      </c>
      <c r="K68" s="77">
        <v>0.48574000000000001</v>
      </c>
      <c r="L68" s="77">
        <f>F68*K68</f>
        <v>2.6618552000000002</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G68*0.813430365</f>
        <v>0</v>
      </c>
      <c r="AN68" s="77">
        <f>G68*(1-0.813430365)</f>
        <v>0</v>
      </c>
      <c r="AO68" s="79" t="s">
        <v>132</v>
      </c>
      <c r="AT68" s="77">
        <f>AU68+AV68</f>
        <v>0</v>
      </c>
      <c r="AU68" s="77">
        <f>F68*AM68</f>
        <v>0</v>
      </c>
      <c r="AV68" s="77">
        <f>F68*AN68</f>
        <v>0</v>
      </c>
      <c r="AW68" s="79" t="s">
        <v>301</v>
      </c>
      <c r="AX68" s="79" t="s">
        <v>302</v>
      </c>
      <c r="AY68" s="71" t="s">
        <v>137</v>
      </c>
      <c r="BA68" s="77">
        <f>AU68+AV68</f>
        <v>0</v>
      </c>
      <c r="BB68" s="77">
        <f>G68/(100-BC68)*100</f>
        <v>0</v>
      </c>
      <c r="BC68" s="77">
        <v>0</v>
      </c>
      <c r="BD68" s="77">
        <f>L68</f>
        <v>2.6618552000000002</v>
      </c>
      <c r="BF68" s="77">
        <f>F68*AM68</f>
        <v>0</v>
      </c>
      <c r="BG68" s="77">
        <f>F68*AN68</f>
        <v>0</v>
      </c>
      <c r="BH68" s="77">
        <f>F68*G68</f>
        <v>0</v>
      </c>
      <c r="BI68" s="77"/>
      <c r="BJ68" s="77">
        <v>56</v>
      </c>
      <c r="BU68" s="77" t="e">
        <f>#REF!</f>
        <v>#REF!</v>
      </c>
      <c r="BV68" s="70" t="s">
        <v>306</v>
      </c>
    </row>
    <row r="69" spans="1:74" ht="40.5" customHeight="1" x14ac:dyDescent="0.25">
      <c r="A69" s="104"/>
      <c r="B69" s="81" t="s">
        <v>138</v>
      </c>
      <c r="C69" s="303" t="s">
        <v>980</v>
      </c>
      <c r="D69" s="304"/>
      <c r="E69" s="304"/>
      <c r="F69" s="304"/>
      <c r="G69" s="304"/>
      <c r="H69" s="304"/>
      <c r="I69" s="304"/>
      <c r="J69" s="304"/>
      <c r="K69" s="304"/>
      <c r="L69" s="304"/>
      <c r="M69" s="305"/>
    </row>
    <row r="70" spans="1:74" x14ac:dyDescent="0.25">
      <c r="A70" s="92" t="s">
        <v>250</v>
      </c>
      <c r="B70" s="69" t="s">
        <v>305</v>
      </c>
      <c r="C70" s="306" t="s">
        <v>306</v>
      </c>
      <c r="D70" s="307"/>
      <c r="E70" s="69" t="s">
        <v>166</v>
      </c>
      <c r="F70" s="77">
        <v>5.48</v>
      </c>
      <c r="G70" s="218">
        <v>0</v>
      </c>
      <c r="H70" s="77">
        <f>F70*AM70</f>
        <v>0</v>
      </c>
      <c r="I70" s="77">
        <f>F70*AN70</f>
        <v>0</v>
      </c>
      <c r="J70" s="77">
        <f>F70*G70</f>
        <v>0</v>
      </c>
      <c r="K70" s="77">
        <v>0.48574000000000001</v>
      </c>
      <c r="L70" s="77">
        <f>F70*K70</f>
        <v>2.6618552000000002</v>
      </c>
      <c r="M70" s="103" t="s">
        <v>35</v>
      </c>
      <c r="X70" s="77">
        <f>IF(AO70="5",BH70,0)</f>
        <v>0</v>
      </c>
      <c r="Z70" s="77">
        <f>IF(AO70="1",BF70,0)</f>
        <v>0</v>
      </c>
      <c r="AA70" s="77">
        <f>IF(AO70="1",BG70,0)</f>
        <v>0</v>
      </c>
      <c r="AB70" s="77">
        <f>IF(AO70="7",BF70,0)</f>
        <v>0</v>
      </c>
      <c r="AC70" s="77">
        <f>IF(AO70="7",BG70,0)</f>
        <v>0</v>
      </c>
      <c r="AD70" s="77">
        <f>IF(AO70="2",BF70,0)</f>
        <v>0</v>
      </c>
      <c r="AE70" s="77">
        <f>IF(AO70="2",BG70,0)</f>
        <v>0</v>
      </c>
      <c r="AF70" s="77">
        <f>IF(AO70="0",BH70,0)</f>
        <v>0</v>
      </c>
      <c r="AG70" s="71" t="s">
        <v>129</v>
      </c>
      <c r="AH70" s="77">
        <f>IF(AL70=0,J70,0)</f>
        <v>0</v>
      </c>
      <c r="AI70" s="77">
        <f>IF(AL70=15,J70,0)</f>
        <v>0</v>
      </c>
      <c r="AJ70" s="77">
        <f>IF(AL70=21,J70,0)</f>
        <v>0</v>
      </c>
      <c r="AL70" s="77">
        <v>15</v>
      </c>
      <c r="AM70" s="77">
        <f>G70*0.813430365</f>
        <v>0</v>
      </c>
      <c r="AN70" s="77">
        <f>G70*(1-0.813430365)</f>
        <v>0</v>
      </c>
      <c r="AO70" s="79" t="s">
        <v>132</v>
      </c>
      <c r="AT70" s="77">
        <f>AU70+AV70</f>
        <v>0</v>
      </c>
      <c r="AU70" s="77">
        <f>F70*AM70</f>
        <v>0</v>
      </c>
      <c r="AV70" s="77">
        <f>F70*AN70</f>
        <v>0</v>
      </c>
      <c r="AW70" s="79" t="s">
        <v>301</v>
      </c>
      <c r="AX70" s="79" t="s">
        <v>302</v>
      </c>
      <c r="AY70" s="71" t="s">
        <v>137</v>
      </c>
      <c r="BA70" s="77">
        <f>AU70+AV70</f>
        <v>0</v>
      </c>
      <c r="BB70" s="77">
        <f>G70/(100-BC70)*100</f>
        <v>0</v>
      </c>
      <c r="BC70" s="77">
        <v>0</v>
      </c>
      <c r="BD70" s="77">
        <f>L70</f>
        <v>2.6618552000000002</v>
      </c>
      <c r="BF70" s="77">
        <f>F70*AM70</f>
        <v>0</v>
      </c>
      <c r="BG70" s="77">
        <f>F70*AN70</f>
        <v>0</v>
      </c>
      <c r="BH70" s="77">
        <f>F70*G70</f>
        <v>0</v>
      </c>
      <c r="BI70" s="77"/>
      <c r="BJ70" s="77">
        <v>56</v>
      </c>
      <c r="BU70" s="77" t="e">
        <f>#REF!</f>
        <v>#REF!</v>
      </c>
      <c r="BV70" s="70" t="s">
        <v>306</v>
      </c>
    </row>
    <row r="71" spans="1:74" ht="40.5" customHeight="1" x14ac:dyDescent="0.25">
      <c r="A71" s="104"/>
      <c r="B71" s="81" t="s">
        <v>138</v>
      </c>
      <c r="C71" s="303" t="s">
        <v>980</v>
      </c>
      <c r="D71" s="304"/>
      <c r="E71" s="304"/>
      <c r="F71" s="304"/>
      <c r="G71" s="304"/>
      <c r="H71" s="304"/>
      <c r="I71" s="304"/>
      <c r="J71" s="304"/>
      <c r="K71" s="304"/>
      <c r="L71" s="304"/>
      <c r="M71" s="305"/>
    </row>
    <row r="72" spans="1:74" x14ac:dyDescent="0.25">
      <c r="A72" s="92" t="s">
        <v>253</v>
      </c>
      <c r="B72" s="69" t="s">
        <v>311</v>
      </c>
      <c r="C72" s="306" t="s">
        <v>312</v>
      </c>
      <c r="D72" s="307"/>
      <c r="E72" s="69" t="s">
        <v>166</v>
      </c>
      <c r="F72" s="77">
        <v>5.36</v>
      </c>
      <c r="G72" s="218">
        <v>0</v>
      </c>
      <c r="H72" s="77">
        <f>F72*AM72</f>
        <v>0</v>
      </c>
      <c r="I72" s="77">
        <f>F72*AN72</f>
        <v>0</v>
      </c>
      <c r="J72" s="77">
        <f>F72*G72</f>
        <v>0</v>
      </c>
      <c r="K72" s="77">
        <v>0.378</v>
      </c>
      <c r="L72" s="77">
        <f>F72*K72</f>
        <v>2.0260800000000003</v>
      </c>
      <c r="M72" s="103" t="s">
        <v>35</v>
      </c>
      <c r="X72" s="77">
        <f>IF(AO72="5",BH72,0)</f>
        <v>0</v>
      </c>
      <c r="Z72" s="77">
        <f>IF(AO72="1",BF72,0)</f>
        <v>0</v>
      </c>
      <c r="AA72" s="77">
        <f>IF(AO72="1",BG72,0)</f>
        <v>0</v>
      </c>
      <c r="AB72" s="77">
        <f>IF(AO72="7",BF72,0)</f>
        <v>0</v>
      </c>
      <c r="AC72" s="77">
        <f>IF(AO72="7",BG72,0)</f>
        <v>0</v>
      </c>
      <c r="AD72" s="77">
        <f>IF(AO72="2",BF72,0)</f>
        <v>0</v>
      </c>
      <c r="AE72" s="77">
        <f>IF(AO72="2",BG72,0)</f>
        <v>0</v>
      </c>
      <c r="AF72" s="77">
        <f>IF(AO72="0",BH72,0)</f>
        <v>0</v>
      </c>
      <c r="AG72" s="71" t="s">
        <v>129</v>
      </c>
      <c r="AH72" s="77">
        <f>IF(AL72=0,J72,0)</f>
        <v>0</v>
      </c>
      <c r="AI72" s="77">
        <f>IF(AL72=15,J72,0)</f>
        <v>0</v>
      </c>
      <c r="AJ72" s="77">
        <f>IF(AL72=21,J72,0)</f>
        <v>0</v>
      </c>
      <c r="AL72" s="77">
        <v>15</v>
      </c>
      <c r="AM72" s="77">
        <f>G72*0.826850946</f>
        <v>0</v>
      </c>
      <c r="AN72" s="77">
        <f>G72*(1-0.826850946)</f>
        <v>0</v>
      </c>
      <c r="AO72" s="79" t="s">
        <v>132</v>
      </c>
      <c r="AT72" s="77">
        <f>AU72+AV72</f>
        <v>0</v>
      </c>
      <c r="AU72" s="77">
        <f>F72*AM72</f>
        <v>0</v>
      </c>
      <c r="AV72" s="77">
        <f>F72*AN72</f>
        <v>0</v>
      </c>
      <c r="AW72" s="79" t="s">
        <v>301</v>
      </c>
      <c r="AX72" s="79" t="s">
        <v>302</v>
      </c>
      <c r="AY72" s="71" t="s">
        <v>137</v>
      </c>
      <c r="BA72" s="77">
        <f>AU72+AV72</f>
        <v>0</v>
      </c>
      <c r="BB72" s="77">
        <f>G72/(100-BC72)*100</f>
        <v>0</v>
      </c>
      <c r="BC72" s="77">
        <v>0</v>
      </c>
      <c r="BD72" s="77">
        <f>L72</f>
        <v>2.0260800000000003</v>
      </c>
      <c r="BF72" s="77">
        <f>F72*AM72</f>
        <v>0</v>
      </c>
      <c r="BG72" s="77">
        <f>F72*AN72</f>
        <v>0</v>
      </c>
      <c r="BH72" s="77">
        <f>F72*G72</f>
        <v>0</v>
      </c>
      <c r="BI72" s="77"/>
      <c r="BJ72" s="77">
        <v>56</v>
      </c>
      <c r="BU72" s="77" t="e">
        <f>#REF!</f>
        <v>#REF!</v>
      </c>
      <c r="BV72" s="70" t="s">
        <v>312</v>
      </c>
    </row>
    <row r="73" spans="1:74" ht="40.5" customHeight="1" x14ac:dyDescent="0.25">
      <c r="A73" s="104"/>
      <c r="B73" s="81" t="s">
        <v>138</v>
      </c>
      <c r="C73" s="303" t="s">
        <v>981</v>
      </c>
      <c r="D73" s="304"/>
      <c r="E73" s="304"/>
      <c r="F73" s="304"/>
      <c r="G73" s="304"/>
      <c r="H73" s="304"/>
      <c r="I73" s="304"/>
      <c r="J73" s="304"/>
      <c r="K73" s="304"/>
      <c r="L73" s="304"/>
      <c r="M73" s="305"/>
    </row>
    <row r="74" spans="1:74" x14ac:dyDescent="0.25">
      <c r="A74" s="105" t="s">
        <v>129</v>
      </c>
      <c r="B74" s="74" t="s">
        <v>651</v>
      </c>
      <c r="C74" s="314" t="s">
        <v>935</v>
      </c>
      <c r="D74" s="315"/>
      <c r="E74" s="75" t="s">
        <v>87</v>
      </c>
      <c r="F74" s="75" t="s">
        <v>87</v>
      </c>
      <c r="G74" s="75" t="s">
        <v>87</v>
      </c>
      <c r="H74" s="67">
        <f>SUM(H75:H75)</f>
        <v>0</v>
      </c>
      <c r="I74" s="67">
        <f>SUM(I75:I75)</f>
        <v>0</v>
      </c>
      <c r="J74" s="67">
        <f>SUM(J75:J75)</f>
        <v>0</v>
      </c>
      <c r="K74" s="71" t="s">
        <v>129</v>
      </c>
      <c r="L74" s="67">
        <f>SUM(L75:L75)</f>
        <v>2.5935000000000001</v>
      </c>
      <c r="M74" s="106" t="s">
        <v>129</v>
      </c>
      <c r="AG74" s="71" t="s">
        <v>129</v>
      </c>
      <c r="AQ74" s="67">
        <f>SUM(AH75:AH75)</f>
        <v>0</v>
      </c>
      <c r="AR74" s="67">
        <f>SUM(AI75:AI75)</f>
        <v>0</v>
      </c>
      <c r="AS74" s="67">
        <f>SUM(AJ75:AJ75)</f>
        <v>0</v>
      </c>
    </row>
    <row r="75" spans="1:74" x14ac:dyDescent="0.25">
      <c r="A75" s="92" t="s">
        <v>258</v>
      </c>
      <c r="B75" s="69" t="s">
        <v>936</v>
      </c>
      <c r="C75" s="306" t="s">
        <v>937</v>
      </c>
      <c r="D75" s="307"/>
      <c r="E75" s="69" t="s">
        <v>145</v>
      </c>
      <c r="F75" s="77">
        <v>5</v>
      </c>
      <c r="G75" s="218">
        <v>0</v>
      </c>
      <c r="H75" s="77">
        <f>F75*AM75</f>
        <v>0</v>
      </c>
      <c r="I75" s="77">
        <f>F75*AN75</f>
        <v>0</v>
      </c>
      <c r="J75" s="77">
        <f>F75*G75</f>
        <v>0</v>
      </c>
      <c r="K75" s="77">
        <v>0.51870000000000005</v>
      </c>
      <c r="L75" s="77">
        <f>F75*K75</f>
        <v>2.5935000000000001</v>
      </c>
      <c r="M75" s="103" t="s">
        <v>35</v>
      </c>
      <c r="X75" s="77">
        <f>IF(AO75="5",BH75,0)</f>
        <v>0</v>
      </c>
      <c r="Z75" s="77">
        <f>IF(AO75="1",BF75,0)</f>
        <v>0</v>
      </c>
      <c r="AA75" s="77">
        <f>IF(AO75="1",BG75,0)</f>
        <v>0</v>
      </c>
      <c r="AB75" s="77">
        <f>IF(AO75="7",BF75,0)</f>
        <v>0</v>
      </c>
      <c r="AC75" s="77">
        <f>IF(AO75="7",BG75,0)</f>
        <v>0</v>
      </c>
      <c r="AD75" s="77">
        <f>IF(AO75="2",BF75,0)</f>
        <v>0</v>
      </c>
      <c r="AE75" s="77">
        <f>IF(AO75="2",BG75,0)</f>
        <v>0</v>
      </c>
      <c r="AF75" s="77">
        <f>IF(AO75="0",BH75,0)</f>
        <v>0</v>
      </c>
      <c r="AG75" s="71" t="s">
        <v>129</v>
      </c>
      <c r="AH75" s="77">
        <f>IF(AL75=0,J75,0)</f>
        <v>0</v>
      </c>
      <c r="AI75" s="77">
        <f>IF(AL75=15,J75,0)</f>
        <v>0</v>
      </c>
      <c r="AJ75" s="77">
        <f>IF(AL75=21,J75,0)</f>
        <v>0</v>
      </c>
      <c r="AL75" s="77">
        <v>15</v>
      </c>
      <c r="AM75" s="77">
        <f>G75*0.329920859</f>
        <v>0</v>
      </c>
      <c r="AN75" s="77">
        <f>G75*(1-0.329920859)</f>
        <v>0</v>
      </c>
      <c r="AO75" s="79" t="s">
        <v>132</v>
      </c>
      <c r="AT75" s="77">
        <f>AU75+AV75</f>
        <v>0</v>
      </c>
      <c r="AU75" s="77">
        <f>F75*AM75</f>
        <v>0</v>
      </c>
      <c r="AV75" s="77">
        <f>F75*AN75</f>
        <v>0</v>
      </c>
      <c r="AW75" s="79" t="s">
        <v>938</v>
      </c>
      <c r="AX75" s="79" t="s">
        <v>320</v>
      </c>
      <c r="AY75" s="71" t="s">
        <v>137</v>
      </c>
      <c r="BA75" s="77">
        <f>AU75+AV75</f>
        <v>0</v>
      </c>
      <c r="BB75" s="77">
        <f>G75/(100-BC75)*100</f>
        <v>0</v>
      </c>
      <c r="BC75" s="77">
        <v>0</v>
      </c>
      <c r="BD75" s="77">
        <f>L75</f>
        <v>2.5935000000000001</v>
      </c>
      <c r="BF75" s="77">
        <f>F75*AM75</f>
        <v>0</v>
      </c>
      <c r="BG75" s="77">
        <f>F75*AN75</f>
        <v>0</v>
      </c>
      <c r="BH75" s="77">
        <f>F75*G75</f>
        <v>0</v>
      </c>
      <c r="BI75" s="77"/>
      <c r="BJ75" s="77">
        <v>83</v>
      </c>
      <c r="BU75" s="77" t="e">
        <f>#REF!</f>
        <v>#REF!</v>
      </c>
      <c r="BV75" s="70" t="s">
        <v>937</v>
      </c>
    </row>
    <row r="76" spans="1:74" ht="121.5" customHeight="1" thickBot="1" x14ac:dyDescent="0.3">
      <c r="A76" s="107"/>
      <c r="B76" s="108" t="s">
        <v>138</v>
      </c>
      <c r="C76" s="308" t="s">
        <v>1008</v>
      </c>
      <c r="D76" s="309"/>
      <c r="E76" s="309"/>
      <c r="F76" s="309"/>
      <c r="G76" s="309"/>
      <c r="H76" s="309"/>
      <c r="I76" s="309"/>
      <c r="J76" s="309"/>
      <c r="K76" s="309"/>
      <c r="L76" s="309"/>
      <c r="M76" s="310"/>
    </row>
    <row r="77" spans="1:74" x14ac:dyDescent="0.25">
      <c r="A77" s="97" t="s">
        <v>129</v>
      </c>
      <c r="B77" s="98" t="s">
        <v>378</v>
      </c>
      <c r="C77" s="318" t="s">
        <v>379</v>
      </c>
      <c r="D77" s="319"/>
      <c r="E77" s="99" t="s">
        <v>87</v>
      </c>
      <c r="F77" s="99" t="s">
        <v>87</v>
      </c>
      <c r="G77" s="99" t="s">
        <v>87</v>
      </c>
      <c r="H77" s="100">
        <f>SUM(H78:H78)</f>
        <v>0</v>
      </c>
      <c r="I77" s="100">
        <f>SUM(I78:I78)</f>
        <v>0</v>
      </c>
      <c r="J77" s="100">
        <f>SUM(J78:J78)</f>
        <v>0</v>
      </c>
      <c r="K77" s="101" t="s">
        <v>129</v>
      </c>
      <c r="L77" s="100">
        <f>SUM(L78:L78)</f>
        <v>0</v>
      </c>
      <c r="M77" s="102" t="s">
        <v>129</v>
      </c>
      <c r="AG77" s="71" t="s">
        <v>129</v>
      </c>
      <c r="AQ77" s="67">
        <f>SUM(AH78:AH78)</f>
        <v>0</v>
      </c>
      <c r="AR77" s="67">
        <f>SUM(AI78:AI78)</f>
        <v>0</v>
      </c>
      <c r="AS77" s="67">
        <f>SUM(AJ78:AJ78)</f>
        <v>0</v>
      </c>
    </row>
    <row r="78" spans="1:74" x14ac:dyDescent="0.25">
      <c r="A78" s="92" t="s">
        <v>263</v>
      </c>
      <c r="B78" s="69" t="s">
        <v>381</v>
      </c>
      <c r="C78" s="306" t="s">
        <v>382</v>
      </c>
      <c r="D78" s="307"/>
      <c r="E78" s="69" t="s">
        <v>281</v>
      </c>
      <c r="F78" s="77">
        <v>3.79</v>
      </c>
      <c r="G78" s="218">
        <v>0</v>
      </c>
      <c r="H78" s="77">
        <f>F78*AM78</f>
        <v>0</v>
      </c>
      <c r="I78" s="77">
        <f>F78*AN78</f>
        <v>0</v>
      </c>
      <c r="J78" s="77">
        <f>F78*G78</f>
        <v>0</v>
      </c>
      <c r="K78" s="77">
        <v>0</v>
      </c>
      <c r="L78" s="77">
        <f>F78*K78</f>
        <v>0</v>
      </c>
      <c r="M78" s="103" t="s">
        <v>35</v>
      </c>
      <c r="X78" s="77">
        <f>IF(AO78="5",BH78,0)</f>
        <v>0</v>
      </c>
      <c r="Z78" s="77">
        <f>IF(AO78="1",BF78,0)</f>
        <v>0</v>
      </c>
      <c r="AA78" s="77">
        <f>IF(AO78="1",BG78,0)</f>
        <v>0</v>
      </c>
      <c r="AB78" s="77">
        <f>IF(AO78="7",BF78,0)</f>
        <v>0</v>
      </c>
      <c r="AC78" s="77">
        <f>IF(AO78="7",BG78,0)</f>
        <v>0</v>
      </c>
      <c r="AD78" s="77">
        <f>IF(AO78="2",BF78,0)</f>
        <v>0</v>
      </c>
      <c r="AE78" s="77">
        <f>IF(AO78="2",BG78,0)</f>
        <v>0</v>
      </c>
      <c r="AF78" s="77">
        <f>IF(AO78="0",BH78,0)</f>
        <v>0</v>
      </c>
      <c r="AG78" s="71" t="s">
        <v>129</v>
      </c>
      <c r="AH78" s="77">
        <f>IF(AL78=0,J78,0)</f>
        <v>0</v>
      </c>
      <c r="AI78" s="77">
        <f>IF(AL78=15,J78,0)</f>
        <v>0</v>
      </c>
      <c r="AJ78" s="77">
        <f>IF(AL78=21,J78,0)</f>
        <v>0</v>
      </c>
      <c r="AL78" s="77">
        <v>15</v>
      </c>
      <c r="AM78" s="77">
        <f>G78*0</f>
        <v>0</v>
      </c>
      <c r="AN78" s="77">
        <f>G78*(1-0)</f>
        <v>0</v>
      </c>
      <c r="AO78" s="79" t="s">
        <v>132</v>
      </c>
      <c r="AT78" s="77">
        <f>AU78+AV78</f>
        <v>0</v>
      </c>
      <c r="AU78" s="77">
        <f>F78*AM78</f>
        <v>0</v>
      </c>
      <c r="AV78" s="77">
        <f>F78*AN78</f>
        <v>0</v>
      </c>
      <c r="AW78" s="79" t="s">
        <v>383</v>
      </c>
      <c r="AX78" s="79" t="s">
        <v>384</v>
      </c>
      <c r="AY78" s="71" t="s">
        <v>137</v>
      </c>
      <c r="BA78" s="77">
        <f>AU78+AV78</f>
        <v>0</v>
      </c>
      <c r="BB78" s="77">
        <f>G78/(100-BC78)*100</f>
        <v>0</v>
      </c>
      <c r="BC78" s="77">
        <v>0</v>
      </c>
      <c r="BD78" s="77">
        <f>L78</f>
        <v>0</v>
      </c>
      <c r="BF78" s="77">
        <f>F78*AM78</f>
        <v>0</v>
      </c>
      <c r="BG78" s="77">
        <f>F78*AN78</f>
        <v>0</v>
      </c>
      <c r="BH78" s="77">
        <f>F78*G78</f>
        <v>0</v>
      </c>
      <c r="BI78" s="77"/>
      <c r="BJ78" s="77">
        <v>97</v>
      </c>
      <c r="BU78" s="77" t="e">
        <f>#REF!</f>
        <v>#REF!</v>
      </c>
      <c r="BV78" s="70" t="s">
        <v>382</v>
      </c>
    </row>
    <row r="79" spans="1:74" ht="27" customHeight="1" x14ac:dyDescent="0.25">
      <c r="A79" s="104"/>
      <c r="B79" s="81" t="s">
        <v>138</v>
      </c>
      <c r="C79" s="303" t="s">
        <v>983</v>
      </c>
      <c r="D79" s="304"/>
      <c r="E79" s="304"/>
      <c r="F79" s="304"/>
      <c r="G79" s="304"/>
      <c r="H79" s="304"/>
      <c r="I79" s="304"/>
      <c r="J79" s="304"/>
      <c r="K79" s="304"/>
      <c r="L79" s="304"/>
      <c r="M79" s="305"/>
    </row>
    <row r="80" spans="1:74" x14ac:dyDescent="0.25">
      <c r="A80" s="105" t="s">
        <v>129</v>
      </c>
      <c r="B80" s="74" t="s">
        <v>386</v>
      </c>
      <c r="C80" s="314" t="s">
        <v>387</v>
      </c>
      <c r="D80" s="315"/>
      <c r="E80" s="75" t="s">
        <v>87</v>
      </c>
      <c r="F80" s="75" t="s">
        <v>87</v>
      </c>
      <c r="G80" s="75" t="s">
        <v>87</v>
      </c>
      <c r="H80" s="67">
        <f>SUM(H81:H84)</f>
        <v>0</v>
      </c>
      <c r="I80" s="67">
        <f>SUM(I81:I84)</f>
        <v>0</v>
      </c>
      <c r="J80" s="67">
        <f>SUM(J81:J84)</f>
        <v>0</v>
      </c>
      <c r="K80" s="71" t="s">
        <v>129</v>
      </c>
      <c r="L80" s="67">
        <f>SUM(L81:L84)</f>
        <v>0</v>
      </c>
      <c r="M80" s="106" t="s">
        <v>129</v>
      </c>
      <c r="AG80" s="71" t="s">
        <v>129</v>
      </c>
      <c r="AQ80" s="67">
        <f>SUM(AH81:AH84)</f>
        <v>0</v>
      </c>
      <c r="AR80" s="67">
        <f>SUM(AI81:AI84)</f>
        <v>0</v>
      </c>
      <c r="AS80" s="67">
        <f>SUM(AJ81:AJ84)</f>
        <v>0</v>
      </c>
    </row>
    <row r="81" spans="1:74" x14ac:dyDescent="0.25">
      <c r="A81" s="92" t="s">
        <v>268</v>
      </c>
      <c r="B81" s="69" t="s">
        <v>389</v>
      </c>
      <c r="C81" s="306" t="s">
        <v>390</v>
      </c>
      <c r="D81" s="307"/>
      <c r="E81" s="69" t="s">
        <v>281</v>
      </c>
      <c r="F81" s="77">
        <v>6.83</v>
      </c>
      <c r="G81" s="218">
        <v>0</v>
      </c>
      <c r="H81" s="77">
        <f>F81*AM81</f>
        <v>0</v>
      </c>
      <c r="I81" s="77">
        <f>F81*AN81</f>
        <v>0</v>
      </c>
      <c r="J81" s="77">
        <f>F81*G81</f>
        <v>0</v>
      </c>
      <c r="K81" s="77">
        <v>0</v>
      </c>
      <c r="L81" s="77">
        <f>F81*K81</f>
        <v>0</v>
      </c>
      <c r="M81" s="103" t="s">
        <v>35</v>
      </c>
      <c r="X81" s="77">
        <f>IF(AO81="5",BH81,0)</f>
        <v>0</v>
      </c>
      <c r="Z81" s="77">
        <f>IF(AO81="1",BF81,0)</f>
        <v>0</v>
      </c>
      <c r="AA81" s="77">
        <f>IF(AO81="1",BG81,0)</f>
        <v>0</v>
      </c>
      <c r="AB81" s="77">
        <f>IF(AO81="7",BF81,0)</f>
        <v>0</v>
      </c>
      <c r="AC81" s="77">
        <f>IF(AO81="7",BG81,0)</f>
        <v>0</v>
      </c>
      <c r="AD81" s="77">
        <f>IF(AO81="2",BF81,0)</f>
        <v>0</v>
      </c>
      <c r="AE81" s="77">
        <f>IF(AO81="2",BG81,0)</f>
        <v>0</v>
      </c>
      <c r="AF81" s="77">
        <f>IF(AO81="0",BH81,0)</f>
        <v>0</v>
      </c>
      <c r="AG81" s="71" t="s">
        <v>129</v>
      </c>
      <c r="AH81" s="77">
        <f>IF(AL81=0,J81,0)</f>
        <v>0</v>
      </c>
      <c r="AI81" s="77">
        <f>IF(AL81=15,J81,0)</f>
        <v>0</v>
      </c>
      <c r="AJ81" s="77">
        <f>IF(AL81=21,J81,0)</f>
        <v>0</v>
      </c>
      <c r="AL81" s="77">
        <v>15</v>
      </c>
      <c r="AM81" s="77">
        <f>G81*0</f>
        <v>0</v>
      </c>
      <c r="AN81" s="77">
        <f>G81*(1-0)</f>
        <v>0</v>
      </c>
      <c r="AO81" s="79" t="s">
        <v>158</v>
      </c>
      <c r="AT81" s="77">
        <f>AU81+AV81</f>
        <v>0</v>
      </c>
      <c r="AU81" s="77">
        <f>F81*AM81</f>
        <v>0</v>
      </c>
      <c r="AV81" s="77">
        <f>F81*AN81</f>
        <v>0</v>
      </c>
      <c r="AW81" s="79" t="s">
        <v>391</v>
      </c>
      <c r="AX81" s="79" t="s">
        <v>384</v>
      </c>
      <c r="AY81" s="71" t="s">
        <v>137</v>
      </c>
      <c r="BA81" s="77">
        <f>AU81+AV81</f>
        <v>0</v>
      </c>
      <c r="BB81" s="77">
        <f>G81/(100-BC81)*100</f>
        <v>0</v>
      </c>
      <c r="BC81" s="77">
        <v>0</v>
      </c>
      <c r="BD81" s="77">
        <f>L81</f>
        <v>0</v>
      </c>
      <c r="BF81" s="77">
        <f>F81*AM81</f>
        <v>0</v>
      </c>
      <c r="BG81" s="77">
        <f>F81*AN81</f>
        <v>0</v>
      </c>
      <c r="BH81" s="77">
        <f>F81*G81</f>
        <v>0</v>
      </c>
      <c r="BI81" s="77"/>
      <c r="BJ81" s="77"/>
      <c r="BU81" s="77" t="e">
        <f>#REF!</f>
        <v>#REF!</v>
      </c>
      <c r="BV81" s="70" t="s">
        <v>390</v>
      </c>
    </row>
    <row r="82" spans="1:74" x14ac:dyDescent="0.25">
      <c r="A82" s="92" t="s">
        <v>274</v>
      </c>
      <c r="B82" s="69" t="s">
        <v>393</v>
      </c>
      <c r="C82" s="306" t="s">
        <v>394</v>
      </c>
      <c r="D82" s="307"/>
      <c r="E82" s="69" t="s">
        <v>281</v>
      </c>
      <c r="F82" s="77">
        <v>25.61</v>
      </c>
      <c r="G82" s="218">
        <v>0</v>
      </c>
      <c r="H82" s="77">
        <f>F82*AM82</f>
        <v>0</v>
      </c>
      <c r="I82" s="77">
        <f>F82*AN82</f>
        <v>0</v>
      </c>
      <c r="J82" s="77">
        <f>F82*G82</f>
        <v>0</v>
      </c>
      <c r="K82" s="77">
        <v>0</v>
      </c>
      <c r="L82" s="77">
        <f>F82*K82</f>
        <v>0</v>
      </c>
      <c r="M82" s="103" t="s">
        <v>35</v>
      </c>
      <c r="X82" s="77">
        <f>IF(AO82="5",BH82,0)</f>
        <v>0</v>
      </c>
      <c r="Z82" s="77">
        <f>IF(AO82="1",BF82,0)</f>
        <v>0</v>
      </c>
      <c r="AA82" s="77">
        <f>IF(AO82="1",BG82,0)</f>
        <v>0</v>
      </c>
      <c r="AB82" s="77">
        <f>IF(AO82="7",BF82,0)</f>
        <v>0</v>
      </c>
      <c r="AC82" s="77">
        <f>IF(AO82="7",BG82,0)</f>
        <v>0</v>
      </c>
      <c r="AD82" s="77">
        <f>IF(AO82="2",BF82,0)</f>
        <v>0</v>
      </c>
      <c r="AE82" s="77">
        <f>IF(AO82="2",BG82,0)</f>
        <v>0</v>
      </c>
      <c r="AF82" s="77">
        <f>IF(AO82="0",BH82,0)</f>
        <v>0</v>
      </c>
      <c r="AG82" s="71" t="s">
        <v>129</v>
      </c>
      <c r="AH82" s="77">
        <f>IF(AL82=0,J82,0)</f>
        <v>0</v>
      </c>
      <c r="AI82" s="77">
        <f>IF(AL82=15,J82,0)</f>
        <v>0</v>
      </c>
      <c r="AJ82" s="77">
        <f>IF(AL82=21,J82,0)</f>
        <v>0</v>
      </c>
      <c r="AL82" s="77">
        <v>15</v>
      </c>
      <c r="AM82" s="77">
        <f>G82*0</f>
        <v>0</v>
      </c>
      <c r="AN82" s="77">
        <f>G82*(1-0)</f>
        <v>0</v>
      </c>
      <c r="AO82" s="79" t="s">
        <v>158</v>
      </c>
      <c r="AT82" s="77">
        <f>AU82+AV82</f>
        <v>0</v>
      </c>
      <c r="AU82" s="77">
        <f>F82*AM82</f>
        <v>0</v>
      </c>
      <c r="AV82" s="77">
        <f>F82*AN82</f>
        <v>0</v>
      </c>
      <c r="AW82" s="79" t="s">
        <v>391</v>
      </c>
      <c r="AX82" s="79" t="s">
        <v>384</v>
      </c>
      <c r="AY82" s="71" t="s">
        <v>137</v>
      </c>
      <c r="BA82" s="77">
        <f>AU82+AV82</f>
        <v>0</v>
      </c>
      <c r="BB82" s="77">
        <f>G82/(100-BC82)*100</f>
        <v>0</v>
      </c>
      <c r="BC82" s="77">
        <v>0</v>
      </c>
      <c r="BD82" s="77">
        <f>L82</f>
        <v>0</v>
      </c>
      <c r="BF82" s="77">
        <f>F82*AM82</f>
        <v>0</v>
      </c>
      <c r="BG82" s="77">
        <f>F82*AN82</f>
        <v>0</v>
      </c>
      <c r="BH82" s="77">
        <f>F82*G82</f>
        <v>0</v>
      </c>
      <c r="BI82" s="77"/>
      <c r="BJ82" s="77"/>
      <c r="BU82" s="77" t="e">
        <f>#REF!</f>
        <v>#REF!</v>
      </c>
      <c r="BV82" s="70" t="s">
        <v>394</v>
      </c>
    </row>
    <row r="83" spans="1:74" ht="40.5" customHeight="1" x14ac:dyDescent="0.25">
      <c r="A83" s="104"/>
      <c r="B83" s="81" t="s">
        <v>138</v>
      </c>
      <c r="C83" s="303" t="s">
        <v>1009</v>
      </c>
      <c r="D83" s="304"/>
      <c r="E83" s="304"/>
      <c r="F83" s="304"/>
      <c r="G83" s="304"/>
      <c r="H83" s="304"/>
      <c r="I83" s="304"/>
      <c r="J83" s="304"/>
      <c r="K83" s="304"/>
      <c r="L83" s="304"/>
      <c r="M83" s="305"/>
    </row>
    <row r="84" spans="1:74" x14ac:dyDescent="0.25">
      <c r="A84" s="92" t="s">
        <v>278</v>
      </c>
      <c r="B84" s="69" t="s">
        <v>798</v>
      </c>
      <c r="C84" s="306" t="s">
        <v>799</v>
      </c>
      <c r="D84" s="307"/>
      <c r="E84" s="69" t="s">
        <v>281</v>
      </c>
      <c r="F84" s="77">
        <v>8.5399999999999991</v>
      </c>
      <c r="G84" s="218">
        <v>0</v>
      </c>
      <c r="H84" s="77">
        <f>F84*AM84</f>
        <v>0</v>
      </c>
      <c r="I84" s="77">
        <f>F84*AN84</f>
        <v>0</v>
      </c>
      <c r="J84" s="77">
        <f>F84*G84</f>
        <v>0</v>
      </c>
      <c r="K84" s="77">
        <v>0</v>
      </c>
      <c r="L84" s="77">
        <f>F84*K84</f>
        <v>0</v>
      </c>
      <c r="M84" s="103" t="s">
        <v>35</v>
      </c>
      <c r="X84" s="77">
        <f>IF(AO84="5",BH84,0)</f>
        <v>0</v>
      </c>
      <c r="Z84" s="77">
        <f>IF(AO84="1",BF84,0)</f>
        <v>0</v>
      </c>
      <c r="AA84" s="77">
        <f>IF(AO84="1",BG84,0)</f>
        <v>0</v>
      </c>
      <c r="AB84" s="77">
        <f>IF(AO84="7",BF84,0)</f>
        <v>0</v>
      </c>
      <c r="AC84" s="77">
        <f>IF(AO84="7",BG84,0)</f>
        <v>0</v>
      </c>
      <c r="AD84" s="77">
        <f>IF(AO84="2",BF84,0)</f>
        <v>0</v>
      </c>
      <c r="AE84" s="77">
        <f>IF(AO84="2",BG84,0)</f>
        <v>0</v>
      </c>
      <c r="AF84" s="77">
        <f>IF(AO84="0",BH84,0)</f>
        <v>0</v>
      </c>
      <c r="AG84" s="71" t="s">
        <v>129</v>
      </c>
      <c r="AH84" s="77">
        <f>IF(AL84=0,J84,0)</f>
        <v>0</v>
      </c>
      <c r="AI84" s="77">
        <f>IF(AL84=15,J84,0)</f>
        <v>0</v>
      </c>
      <c r="AJ84" s="77">
        <f>IF(AL84=21,J84,0)</f>
        <v>0</v>
      </c>
      <c r="AL84" s="77">
        <v>15</v>
      </c>
      <c r="AM84" s="77">
        <f>G84*0</f>
        <v>0</v>
      </c>
      <c r="AN84" s="77">
        <f>G84*(1-0)</f>
        <v>0</v>
      </c>
      <c r="AO84" s="79" t="s">
        <v>158</v>
      </c>
      <c r="AT84" s="77">
        <f>AU84+AV84</f>
        <v>0</v>
      </c>
      <c r="AU84" s="77">
        <f>F84*AM84</f>
        <v>0</v>
      </c>
      <c r="AV84" s="77">
        <f>F84*AN84</f>
        <v>0</v>
      </c>
      <c r="AW84" s="79" t="s">
        <v>391</v>
      </c>
      <c r="AX84" s="79" t="s">
        <v>384</v>
      </c>
      <c r="AY84" s="71" t="s">
        <v>137</v>
      </c>
      <c r="BA84" s="77">
        <f>AU84+AV84</f>
        <v>0</v>
      </c>
      <c r="BB84" s="77">
        <f>G84/(100-BC84)*100</f>
        <v>0</v>
      </c>
      <c r="BC84" s="77">
        <v>0</v>
      </c>
      <c r="BD84" s="77">
        <f>L84</f>
        <v>0</v>
      </c>
      <c r="BF84" s="77">
        <f>F84*AM84</f>
        <v>0</v>
      </c>
      <c r="BG84" s="77">
        <f>F84*AN84</f>
        <v>0</v>
      </c>
      <c r="BH84" s="77">
        <f>F84*G84</f>
        <v>0</v>
      </c>
      <c r="BI84" s="77"/>
      <c r="BJ84" s="77"/>
      <c r="BU84" s="77" t="e">
        <f>#REF!</f>
        <v>#REF!</v>
      </c>
      <c r="BV84" s="70" t="s">
        <v>799</v>
      </c>
    </row>
    <row r="85" spans="1:74" ht="40.5" customHeight="1" x14ac:dyDescent="0.25">
      <c r="A85" s="104"/>
      <c r="B85" s="81" t="s">
        <v>138</v>
      </c>
      <c r="C85" s="303" t="s">
        <v>1010</v>
      </c>
      <c r="D85" s="304"/>
      <c r="E85" s="304"/>
      <c r="F85" s="304"/>
      <c r="G85" s="304"/>
      <c r="H85" s="304"/>
      <c r="I85" s="304"/>
      <c r="J85" s="304"/>
      <c r="K85" s="304"/>
      <c r="L85" s="304"/>
      <c r="M85" s="305"/>
    </row>
    <row r="86" spans="1:74" x14ac:dyDescent="0.25">
      <c r="A86" s="105" t="s">
        <v>129</v>
      </c>
      <c r="B86" s="74" t="s">
        <v>401</v>
      </c>
      <c r="C86" s="314" t="s">
        <v>402</v>
      </c>
      <c r="D86" s="315"/>
      <c r="E86" s="75" t="s">
        <v>87</v>
      </c>
      <c r="F86" s="75" t="s">
        <v>87</v>
      </c>
      <c r="G86" s="75" t="s">
        <v>87</v>
      </c>
      <c r="H86" s="67">
        <f>SUM(H87:H88)</f>
        <v>0</v>
      </c>
      <c r="I86" s="67">
        <f>SUM(I87:I88)</f>
        <v>0</v>
      </c>
      <c r="J86" s="67">
        <f>SUM(J87:J88)</f>
        <v>0</v>
      </c>
      <c r="K86" s="71" t="s">
        <v>129</v>
      </c>
      <c r="L86" s="67">
        <f>SUM(L87:L88)</f>
        <v>0</v>
      </c>
      <c r="M86" s="106" t="s">
        <v>129</v>
      </c>
      <c r="AG86" s="71" t="s">
        <v>129</v>
      </c>
      <c r="AQ86" s="67">
        <f>SUM(AH87:AH88)</f>
        <v>0</v>
      </c>
      <c r="AR86" s="67">
        <f>SUM(AI87:AI88)</f>
        <v>0</v>
      </c>
      <c r="AS86" s="67">
        <f>SUM(AJ87:AJ88)</f>
        <v>0</v>
      </c>
    </row>
    <row r="87" spans="1:74" x14ac:dyDescent="0.25">
      <c r="A87" s="92" t="s">
        <v>283</v>
      </c>
      <c r="B87" s="69" t="s">
        <v>404</v>
      </c>
      <c r="C87" s="306" t="s">
        <v>405</v>
      </c>
      <c r="D87" s="307"/>
      <c r="E87" s="69" t="s">
        <v>281</v>
      </c>
      <c r="F87" s="77">
        <v>2.6</v>
      </c>
      <c r="G87" s="218">
        <v>0</v>
      </c>
      <c r="H87" s="77">
        <f>F87*AM87</f>
        <v>0</v>
      </c>
      <c r="I87" s="77">
        <f>F87*AN87</f>
        <v>0</v>
      </c>
      <c r="J87" s="77">
        <f>F87*G87</f>
        <v>0</v>
      </c>
      <c r="K87" s="77">
        <v>0</v>
      </c>
      <c r="L87" s="77">
        <f>F87*K87</f>
        <v>0</v>
      </c>
      <c r="M87" s="103" t="s">
        <v>35</v>
      </c>
      <c r="X87" s="77">
        <f>IF(AO87="5",BH87,0)</f>
        <v>0</v>
      </c>
      <c r="Z87" s="77">
        <f>IF(AO87="1",BF87,0)</f>
        <v>0</v>
      </c>
      <c r="AA87" s="77">
        <f>IF(AO87="1",BG87,0)</f>
        <v>0</v>
      </c>
      <c r="AB87" s="77">
        <f>IF(AO87="7",BF87,0)</f>
        <v>0</v>
      </c>
      <c r="AC87" s="77">
        <f>IF(AO87="7",BG87,0)</f>
        <v>0</v>
      </c>
      <c r="AD87" s="77">
        <f>IF(AO87="2",BF87,0)</f>
        <v>0</v>
      </c>
      <c r="AE87" s="77">
        <f>IF(AO87="2",BG87,0)</f>
        <v>0</v>
      </c>
      <c r="AF87" s="77">
        <f>IF(AO87="0",BH87,0)</f>
        <v>0</v>
      </c>
      <c r="AG87" s="71" t="s">
        <v>129</v>
      </c>
      <c r="AH87" s="77">
        <f>IF(AL87=0,J87,0)</f>
        <v>0</v>
      </c>
      <c r="AI87" s="77">
        <f>IF(AL87=15,J87,0)</f>
        <v>0</v>
      </c>
      <c r="AJ87" s="77">
        <f>IF(AL87=21,J87,0)</f>
        <v>0</v>
      </c>
      <c r="AL87" s="77">
        <v>15</v>
      </c>
      <c r="AM87" s="77">
        <f>G87*0</f>
        <v>0</v>
      </c>
      <c r="AN87" s="77">
        <f>G87*(1-0)</f>
        <v>0</v>
      </c>
      <c r="AO87" s="79" t="s">
        <v>158</v>
      </c>
      <c r="AT87" s="77">
        <f>AU87+AV87</f>
        <v>0</v>
      </c>
      <c r="AU87" s="77">
        <f>F87*AM87</f>
        <v>0</v>
      </c>
      <c r="AV87" s="77">
        <f>F87*AN87</f>
        <v>0</v>
      </c>
      <c r="AW87" s="79" t="s">
        <v>406</v>
      </c>
      <c r="AX87" s="79" t="s">
        <v>384</v>
      </c>
      <c r="AY87" s="71" t="s">
        <v>137</v>
      </c>
      <c r="BA87" s="77">
        <f>AU87+AV87</f>
        <v>0</v>
      </c>
      <c r="BB87" s="77">
        <f>G87/(100-BC87)*100</f>
        <v>0</v>
      </c>
      <c r="BC87" s="77">
        <v>0</v>
      </c>
      <c r="BD87" s="77">
        <f>L87</f>
        <v>0</v>
      </c>
      <c r="BF87" s="77">
        <f>F87*AM87</f>
        <v>0</v>
      </c>
      <c r="BG87" s="77">
        <f>F87*AN87</f>
        <v>0</v>
      </c>
      <c r="BH87" s="77">
        <f>F87*G87</f>
        <v>0</v>
      </c>
      <c r="BI87" s="77"/>
      <c r="BJ87" s="77"/>
      <c r="BU87" s="77" t="e">
        <f>#REF!</f>
        <v>#REF!</v>
      </c>
      <c r="BV87" s="70" t="s">
        <v>405</v>
      </c>
    </row>
    <row r="88" spans="1:74" ht="15.75" thickBot="1" x14ac:dyDescent="0.3">
      <c r="A88" s="93" t="s">
        <v>290</v>
      </c>
      <c r="B88" s="94" t="s">
        <v>408</v>
      </c>
      <c r="C88" s="316" t="s">
        <v>409</v>
      </c>
      <c r="D88" s="317"/>
      <c r="E88" s="94" t="s">
        <v>281</v>
      </c>
      <c r="F88" s="125">
        <v>6.12</v>
      </c>
      <c r="G88" s="220">
        <v>0</v>
      </c>
      <c r="H88" s="125">
        <f>F88*AM88</f>
        <v>0</v>
      </c>
      <c r="I88" s="125">
        <f>F88*AN88</f>
        <v>0</v>
      </c>
      <c r="J88" s="125">
        <f>F88*G88</f>
        <v>0</v>
      </c>
      <c r="K88" s="125">
        <v>0</v>
      </c>
      <c r="L88" s="125">
        <f>F88*K88</f>
        <v>0</v>
      </c>
      <c r="M88" s="126" t="s">
        <v>35</v>
      </c>
      <c r="X88" s="77">
        <f>IF(AO88="5",BH88,0)</f>
        <v>0</v>
      </c>
      <c r="Z88" s="77">
        <f>IF(AO88="1",BF88,0)</f>
        <v>0</v>
      </c>
      <c r="AA88" s="77">
        <f>IF(AO88="1",BG88,0)</f>
        <v>0</v>
      </c>
      <c r="AB88" s="77">
        <f>IF(AO88="7",BF88,0)</f>
        <v>0</v>
      </c>
      <c r="AC88" s="77">
        <f>IF(AO88="7",BG88,0)</f>
        <v>0</v>
      </c>
      <c r="AD88" s="77">
        <f>IF(AO88="2",BF88,0)</f>
        <v>0</v>
      </c>
      <c r="AE88" s="77">
        <f>IF(AO88="2",BG88,0)</f>
        <v>0</v>
      </c>
      <c r="AF88" s="77">
        <f>IF(AO88="0",BH88,0)</f>
        <v>0</v>
      </c>
      <c r="AG88" s="71" t="s">
        <v>129</v>
      </c>
      <c r="AH88" s="77">
        <f>IF(AL88=0,J88,0)</f>
        <v>0</v>
      </c>
      <c r="AI88" s="77">
        <f>IF(AL88=15,J88,0)</f>
        <v>0</v>
      </c>
      <c r="AJ88" s="77">
        <f>IF(AL88=21,J88,0)</f>
        <v>0</v>
      </c>
      <c r="AL88" s="77">
        <v>15</v>
      </c>
      <c r="AM88" s="77">
        <f>G88*0</f>
        <v>0</v>
      </c>
      <c r="AN88" s="77">
        <f>G88*(1-0)</f>
        <v>0</v>
      </c>
      <c r="AO88" s="79" t="s">
        <v>158</v>
      </c>
      <c r="AT88" s="77">
        <f>AU88+AV88</f>
        <v>0</v>
      </c>
      <c r="AU88" s="77">
        <f>F88*AM88</f>
        <v>0</v>
      </c>
      <c r="AV88" s="77">
        <f>F88*AN88</f>
        <v>0</v>
      </c>
      <c r="AW88" s="79" t="s">
        <v>406</v>
      </c>
      <c r="AX88" s="79" t="s">
        <v>384</v>
      </c>
      <c r="AY88" s="71" t="s">
        <v>137</v>
      </c>
      <c r="BA88" s="77">
        <f>AU88+AV88</f>
        <v>0</v>
      </c>
      <c r="BB88" s="77">
        <f>G88/(100-BC88)*100</f>
        <v>0</v>
      </c>
      <c r="BC88" s="77">
        <v>0</v>
      </c>
      <c r="BD88" s="77">
        <f>L88</f>
        <v>0</v>
      </c>
      <c r="BF88" s="77">
        <f>F88*AM88</f>
        <v>0</v>
      </c>
      <c r="BG88" s="77">
        <f>F88*AN88</f>
        <v>0</v>
      </c>
      <c r="BH88" s="77">
        <f>F88*G88</f>
        <v>0</v>
      </c>
      <c r="BI88" s="77"/>
      <c r="BJ88" s="77"/>
      <c r="BU88" s="77" t="e">
        <f>#REF!</f>
        <v>#REF!</v>
      </c>
      <c r="BV88" s="70" t="s">
        <v>409</v>
      </c>
    </row>
    <row r="89" spans="1:74" x14ac:dyDescent="0.25">
      <c r="H89" s="311" t="s">
        <v>475</v>
      </c>
      <c r="I89" s="311"/>
      <c r="J89" s="84">
        <f>ROUND(J12+J23+J26+J35+J40+J49+J56+J59+J62+J65+J74+J77+J80+J86,1)</f>
        <v>0</v>
      </c>
    </row>
    <row r="90" spans="1:74" x14ac:dyDescent="0.25">
      <c r="A90" s="85" t="s">
        <v>138</v>
      </c>
    </row>
    <row r="91" spans="1:74" ht="27" customHeight="1" x14ac:dyDescent="0.25">
      <c r="A91" s="306" t="s">
        <v>953</v>
      </c>
      <c r="B91" s="307"/>
      <c r="C91" s="307"/>
      <c r="D91" s="307"/>
      <c r="E91" s="307"/>
      <c r="F91" s="307"/>
      <c r="G91" s="307"/>
      <c r="H91" s="307"/>
      <c r="I91" s="307"/>
      <c r="J91" s="307"/>
      <c r="K91" s="307"/>
      <c r="L91" s="307"/>
      <c r="M91" s="307"/>
    </row>
  </sheetData>
  <sheetProtection algorithmName="SHA-512" hashValue="1bbHN5bIkWEDf3SeCIMFVB6szLi4Wq5EcWE+Ql1Bmi2WDgY223J8CMS53EN+zgaNQ/yYc+bOP3n0rb0s7YCdfg==" saltValue="R5lbe6vQw+UstuQ9vbEu+w==" spinCount="100000" sheet="1" formatCells="0" formatColumns="0" formatRows="0" insertColumns="0" insertRows="0" insertHyperlinks="0"/>
  <mergeCells count="108">
    <mergeCell ref="H89:I89"/>
    <mergeCell ref="A91:M91"/>
    <mergeCell ref="C83:M83"/>
    <mergeCell ref="C84:D84"/>
    <mergeCell ref="C85:M85"/>
    <mergeCell ref="C86:D86"/>
    <mergeCell ref="C87:D87"/>
    <mergeCell ref="C88:D88"/>
    <mergeCell ref="C77:D77"/>
    <mergeCell ref="C78:D78"/>
    <mergeCell ref="C79:M79"/>
    <mergeCell ref="C80:D80"/>
    <mergeCell ref="C81:D81"/>
    <mergeCell ref="C82:D82"/>
    <mergeCell ref="C71:M71"/>
    <mergeCell ref="C72:D72"/>
    <mergeCell ref="C73:M73"/>
    <mergeCell ref="C74:D74"/>
    <mergeCell ref="C75:D75"/>
    <mergeCell ref="C76:M76"/>
    <mergeCell ref="C65:D65"/>
    <mergeCell ref="C66:D66"/>
    <mergeCell ref="C67:M67"/>
    <mergeCell ref="C68:D68"/>
    <mergeCell ref="C69:M69"/>
    <mergeCell ref="C70:D70"/>
    <mergeCell ref="C59:D59"/>
    <mergeCell ref="C60:D60"/>
    <mergeCell ref="C61:M61"/>
    <mergeCell ref="C62:D62"/>
    <mergeCell ref="C63:D63"/>
    <mergeCell ref="C64:M64"/>
    <mergeCell ref="C53:M53"/>
    <mergeCell ref="C54:D54"/>
    <mergeCell ref="C55:M55"/>
    <mergeCell ref="C56:D56"/>
    <mergeCell ref="C57:D57"/>
    <mergeCell ref="C58:M58"/>
    <mergeCell ref="C47:D47"/>
    <mergeCell ref="C48:M48"/>
    <mergeCell ref="C49:D49"/>
    <mergeCell ref="C50:D50"/>
    <mergeCell ref="C51:M51"/>
    <mergeCell ref="C52:D52"/>
    <mergeCell ref="C41:D41"/>
    <mergeCell ref="C42:M42"/>
    <mergeCell ref="C43:D43"/>
    <mergeCell ref="C44:M44"/>
    <mergeCell ref="C45:D45"/>
    <mergeCell ref="C46:M46"/>
    <mergeCell ref="C35:D35"/>
    <mergeCell ref="C36:D36"/>
    <mergeCell ref="C37:M37"/>
    <mergeCell ref="C38:D38"/>
    <mergeCell ref="C39:M39"/>
    <mergeCell ref="C40:D40"/>
    <mergeCell ref="C29:D29"/>
    <mergeCell ref="C30:M30"/>
    <mergeCell ref="C31:D31"/>
    <mergeCell ref="C32:M32"/>
    <mergeCell ref="C33:D33"/>
    <mergeCell ref="C34:M34"/>
    <mergeCell ref="C23:D23"/>
    <mergeCell ref="C24:D24"/>
    <mergeCell ref="C25:M25"/>
    <mergeCell ref="C26:D26"/>
    <mergeCell ref="C27:D27"/>
    <mergeCell ref="C28:M28"/>
    <mergeCell ref="C17:D17"/>
    <mergeCell ref="C18:M18"/>
    <mergeCell ref="C19:D19"/>
    <mergeCell ref="C20:M20"/>
    <mergeCell ref="C21:D21"/>
    <mergeCell ref="C22:M22"/>
    <mergeCell ref="C15:D15"/>
    <mergeCell ref="C16:M16"/>
    <mergeCell ref="A8:B9"/>
    <mergeCell ref="C8:D9"/>
    <mergeCell ref="E8:F9"/>
    <mergeCell ref="G8:G9"/>
    <mergeCell ref="C10:D10"/>
    <mergeCell ref="H10:J10"/>
    <mergeCell ref="K10:L10"/>
    <mergeCell ref="A6:B7"/>
    <mergeCell ref="C6:D7"/>
    <mergeCell ref="E6:F7"/>
    <mergeCell ref="G6:G7"/>
    <mergeCell ref="C11:D11"/>
    <mergeCell ref="C12:D12"/>
    <mergeCell ref="C13:D13"/>
    <mergeCell ref="C14:M14"/>
    <mergeCell ref="H6:H7"/>
    <mergeCell ref="I6:M7"/>
    <mergeCell ref="H8:H9"/>
    <mergeCell ref="I8:M9"/>
    <mergeCell ref="A1:M1"/>
    <mergeCell ref="A2:B3"/>
    <mergeCell ref="C2:D3"/>
    <mergeCell ref="E2:F3"/>
    <mergeCell ref="G2:G3"/>
    <mergeCell ref="A4:B5"/>
    <mergeCell ref="C4:D5"/>
    <mergeCell ref="E4:F5"/>
    <mergeCell ref="G4:G5"/>
    <mergeCell ref="H2:H3"/>
    <mergeCell ref="I2:M3"/>
    <mergeCell ref="H4:H5"/>
    <mergeCell ref="I4:M5"/>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3" manualBreakCount="3">
    <brk id="25" max="12" man="1"/>
    <brk id="48" max="12" man="1"/>
    <brk id="76" max="12" man="1"/>
  </rowBreaks>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24801-88F3-475D-8BF8-BB25382EA1B0}">
  <sheetPr codeName="List12">
    <pageSetUpPr fitToPage="1"/>
  </sheetPr>
  <dimension ref="A1:BV91"/>
  <sheetViews>
    <sheetView view="pageBreakPreview" zoomScale="55" zoomScaleNormal="40" zoomScaleSheetLayoutView="55" workbookViewId="0">
      <pane ySplit="11" topLeftCell="A12" activePane="bottomLeft" state="frozen"/>
      <selection activeCell="D44" sqref="D44"/>
      <selection pane="bottomLeft" activeCell="C44" sqref="C44:M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85</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1011</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96</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SUM(H13:H21)</f>
        <v>0</v>
      </c>
      <c r="I12" s="100">
        <f>SUM(I13:I21)</f>
        <v>0</v>
      </c>
      <c r="J12" s="100">
        <f>SUM(J13:J21)</f>
        <v>0</v>
      </c>
      <c r="K12" s="101" t="s">
        <v>129</v>
      </c>
      <c r="L12" s="100">
        <f>SUM(L13:L21)</f>
        <v>9.5416211000000004</v>
      </c>
      <c r="M12" s="102" t="s">
        <v>129</v>
      </c>
      <c r="AG12" s="71" t="s">
        <v>129</v>
      </c>
      <c r="AQ12" s="67">
        <f>SUM(AH13:AH21)</f>
        <v>0</v>
      </c>
      <c r="AR12" s="67">
        <f>SUM(AI13:AI21)</f>
        <v>0</v>
      </c>
      <c r="AS12" s="67">
        <f>SUM(AJ13:AJ21)</f>
        <v>0</v>
      </c>
    </row>
    <row r="13" spans="1:74" x14ac:dyDescent="0.25">
      <c r="A13" s="92" t="s">
        <v>132</v>
      </c>
      <c r="B13" s="69" t="s">
        <v>150</v>
      </c>
      <c r="C13" s="306" t="s">
        <v>151</v>
      </c>
      <c r="D13" s="307"/>
      <c r="E13" s="69" t="s">
        <v>145</v>
      </c>
      <c r="F13" s="77">
        <v>1.53</v>
      </c>
      <c r="G13" s="218">
        <v>0</v>
      </c>
      <c r="H13" s="77">
        <f>F13*AM13</f>
        <v>0</v>
      </c>
      <c r="I13" s="77">
        <f>F13*AN13</f>
        <v>0</v>
      </c>
      <c r="J13" s="77">
        <f>F13*G13</f>
        <v>0</v>
      </c>
      <c r="K13" s="77">
        <v>2.478E-2</v>
      </c>
      <c r="L13" s="77">
        <f>F13*K13</f>
        <v>3.79134E-2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G13*0.057577053</f>
        <v>0</v>
      </c>
      <c r="AN13" s="77">
        <f>G13*(1-0.057577053)</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3.79134E-2</v>
      </c>
      <c r="BF13" s="77">
        <f>F13*AM13</f>
        <v>0</v>
      </c>
      <c r="BG13" s="77">
        <f>F13*AN13</f>
        <v>0</v>
      </c>
      <c r="BH13" s="77">
        <f>F13*G13</f>
        <v>0</v>
      </c>
      <c r="BI13" s="77"/>
      <c r="BJ13" s="77">
        <v>11</v>
      </c>
      <c r="BU13" s="77" t="e">
        <f>#REF!</f>
        <v>#REF!</v>
      </c>
      <c r="BV13" s="70" t="s">
        <v>151</v>
      </c>
    </row>
    <row r="14" spans="1:74" ht="40.5" customHeight="1" x14ac:dyDescent="0.25">
      <c r="A14" s="104"/>
      <c r="B14" s="81" t="s">
        <v>138</v>
      </c>
      <c r="C14" s="303" t="s">
        <v>985</v>
      </c>
      <c r="D14" s="304"/>
      <c r="E14" s="304"/>
      <c r="F14" s="304"/>
      <c r="G14" s="304"/>
      <c r="H14" s="304"/>
      <c r="I14" s="304"/>
      <c r="J14" s="304"/>
      <c r="K14" s="304"/>
      <c r="L14" s="304"/>
      <c r="M14" s="305"/>
    </row>
    <row r="15" spans="1:74" x14ac:dyDescent="0.25">
      <c r="A15" s="92" t="s">
        <v>142</v>
      </c>
      <c r="B15" s="69" t="s">
        <v>143</v>
      </c>
      <c r="C15" s="306" t="s">
        <v>144</v>
      </c>
      <c r="D15" s="307"/>
      <c r="E15" s="69" t="s">
        <v>145</v>
      </c>
      <c r="F15" s="77">
        <v>1.53</v>
      </c>
      <c r="G15" s="218">
        <v>0</v>
      </c>
      <c r="H15" s="77">
        <f>F15*AM15</f>
        <v>0</v>
      </c>
      <c r="I15" s="77">
        <f>F15*AN15</f>
        <v>0</v>
      </c>
      <c r="J15" s="77">
        <f>F15*G15</f>
        <v>0</v>
      </c>
      <c r="K15" s="77">
        <v>8.6899999999999998E-3</v>
      </c>
      <c r="L15" s="77">
        <f>F15*K15</f>
        <v>1.3295700000000001E-2</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G15*0.061949627</f>
        <v>0</v>
      </c>
      <c r="AN15" s="77">
        <f>G15*(1-0.061949627)</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1.3295700000000001E-2</v>
      </c>
      <c r="BF15" s="77">
        <f>F15*AM15</f>
        <v>0</v>
      </c>
      <c r="BG15" s="77">
        <f>F15*AN15</f>
        <v>0</v>
      </c>
      <c r="BH15" s="77">
        <f>F15*G15</f>
        <v>0</v>
      </c>
      <c r="BI15" s="77"/>
      <c r="BJ15" s="77">
        <v>11</v>
      </c>
      <c r="BU15" s="77" t="e">
        <f>#REF!</f>
        <v>#REF!</v>
      </c>
      <c r="BV15" s="70" t="s">
        <v>144</v>
      </c>
    </row>
    <row r="16" spans="1:74" ht="40.5" customHeight="1" x14ac:dyDescent="0.25">
      <c r="A16" s="104"/>
      <c r="B16" s="81" t="s">
        <v>138</v>
      </c>
      <c r="C16" s="303" t="s">
        <v>986</v>
      </c>
      <c r="D16" s="304"/>
      <c r="E16" s="304"/>
      <c r="F16" s="304"/>
      <c r="G16" s="304"/>
      <c r="H16" s="304"/>
      <c r="I16" s="304"/>
      <c r="J16" s="304"/>
      <c r="K16" s="304"/>
      <c r="L16" s="304"/>
      <c r="M16" s="305"/>
    </row>
    <row r="17" spans="1:74" x14ac:dyDescent="0.25">
      <c r="A17" s="92" t="s">
        <v>149</v>
      </c>
      <c r="B17" s="69" t="s">
        <v>493</v>
      </c>
      <c r="C17" s="306" t="s">
        <v>494</v>
      </c>
      <c r="D17" s="307"/>
      <c r="E17" s="69" t="s">
        <v>166</v>
      </c>
      <c r="F17" s="77">
        <v>5.62</v>
      </c>
      <c r="G17" s="218">
        <v>0</v>
      </c>
      <c r="H17" s="77">
        <f>F17*AM17</f>
        <v>0</v>
      </c>
      <c r="I17" s="77">
        <f>F17*AN17</f>
        <v>0</v>
      </c>
      <c r="J17" s="77">
        <f>F17*G17</f>
        <v>0</v>
      </c>
      <c r="K17" s="77">
        <v>0.90010000000000001</v>
      </c>
      <c r="L17" s="77">
        <f>F17*K17</f>
        <v>5.0585620000000002</v>
      </c>
      <c r="M17" s="103" t="s">
        <v>35</v>
      </c>
      <c r="X17" s="77">
        <f>IF(AO17="5",BH17,0)</f>
        <v>0</v>
      </c>
      <c r="Z17" s="77">
        <f>IF(AO17="1",BF17,0)</f>
        <v>0</v>
      </c>
      <c r="AA17" s="77">
        <f>IF(AO17="1",BG17,0)</f>
        <v>0</v>
      </c>
      <c r="AB17" s="77">
        <f>IF(AO17="7",BF17,0)</f>
        <v>0</v>
      </c>
      <c r="AC17" s="77">
        <f>IF(AO17="7",BG17,0)</f>
        <v>0</v>
      </c>
      <c r="AD17" s="77">
        <f>IF(AO17="2",BF17,0)</f>
        <v>0</v>
      </c>
      <c r="AE17" s="77">
        <f>IF(AO17="2",BG17,0)</f>
        <v>0</v>
      </c>
      <c r="AF17" s="77">
        <f>IF(AO17="0",BH17,0)</f>
        <v>0</v>
      </c>
      <c r="AG17" s="71" t="s">
        <v>129</v>
      </c>
      <c r="AH17" s="77">
        <f>IF(AL17=0,J17,0)</f>
        <v>0</v>
      </c>
      <c r="AI17" s="77">
        <f>IF(AL17=15,J17,0)</f>
        <v>0</v>
      </c>
      <c r="AJ17" s="77">
        <f>IF(AL17=21,J17,0)</f>
        <v>0</v>
      </c>
      <c r="AL17" s="77">
        <v>15</v>
      </c>
      <c r="AM17" s="77">
        <f>G17*0.00661125</f>
        <v>0</v>
      </c>
      <c r="AN17" s="77">
        <f>G17*(1-0.00661125)</f>
        <v>0</v>
      </c>
      <c r="AO17" s="79" t="s">
        <v>132</v>
      </c>
      <c r="AT17" s="77">
        <f>AU17+AV17</f>
        <v>0</v>
      </c>
      <c r="AU17" s="77">
        <f>F17*AM17</f>
        <v>0</v>
      </c>
      <c r="AV17" s="77">
        <f>F17*AN17</f>
        <v>0</v>
      </c>
      <c r="AW17" s="79" t="s">
        <v>146</v>
      </c>
      <c r="AX17" s="79" t="s">
        <v>147</v>
      </c>
      <c r="AY17" s="71" t="s">
        <v>137</v>
      </c>
      <c r="BA17" s="77">
        <f>AU17+AV17</f>
        <v>0</v>
      </c>
      <c r="BB17" s="77">
        <f>G17/(100-BC17)*100</f>
        <v>0</v>
      </c>
      <c r="BC17" s="77">
        <v>0</v>
      </c>
      <c r="BD17" s="77">
        <f>L17</f>
        <v>5.0585620000000002</v>
      </c>
      <c r="BF17" s="77">
        <f>F17*AM17</f>
        <v>0</v>
      </c>
      <c r="BG17" s="77">
        <f>F17*AN17</f>
        <v>0</v>
      </c>
      <c r="BH17" s="77">
        <f>F17*G17</f>
        <v>0</v>
      </c>
      <c r="BI17" s="77"/>
      <c r="BJ17" s="77">
        <v>11</v>
      </c>
      <c r="BU17" s="77" t="e">
        <f>#REF!</f>
        <v>#REF!</v>
      </c>
      <c r="BV17" s="70" t="s">
        <v>494</v>
      </c>
    </row>
    <row r="18" spans="1:74" ht="162" customHeight="1" x14ac:dyDescent="0.25">
      <c r="A18" s="104"/>
      <c r="B18" s="81" t="s">
        <v>138</v>
      </c>
      <c r="C18" s="303" t="s">
        <v>958</v>
      </c>
      <c r="D18" s="304"/>
      <c r="E18" s="304"/>
      <c r="F18" s="304"/>
      <c r="G18" s="304"/>
      <c r="H18" s="304"/>
      <c r="I18" s="304"/>
      <c r="J18" s="304"/>
      <c r="K18" s="304"/>
      <c r="L18" s="304"/>
      <c r="M18" s="305"/>
    </row>
    <row r="19" spans="1:74" ht="25.5" x14ac:dyDescent="0.25">
      <c r="A19" s="92" t="s">
        <v>153</v>
      </c>
      <c r="B19" s="69" t="s">
        <v>987</v>
      </c>
      <c r="C19" s="306" t="s">
        <v>988</v>
      </c>
      <c r="D19" s="307"/>
      <c r="E19" s="69" t="s">
        <v>166</v>
      </c>
      <c r="F19" s="77">
        <v>2.41</v>
      </c>
      <c r="G19" s="218">
        <v>0</v>
      </c>
      <c r="H19" s="77">
        <f>F19*AM19</f>
        <v>0</v>
      </c>
      <c r="I19" s="77">
        <f>F19*AN19</f>
        <v>0</v>
      </c>
      <c r="J19" s="77">
        <f>F19*G19</f>
        <v>0</v>
      </c>
      <c r="K19" s="77">
        <v>1.105</v>
      </c>
      <c r="L19" s="77">
        <f>F19*K19</f>
        <v>2.6630500000000001</v>
      </c>
      <c r="M19" s="103" t="s">
        <v>35</v>
      </c>
      <c r="X19" s="77">
        <f>IF(AO19="5",BH19,0)</f>
        <v>0</v>
      </c>
      <c r="Z19" s="77">
        <f>IF(AO19="1",BF19,0)</f>
        <v>0</v>
      </c>
      <c r="AA19" s="77">
        <f>IF(AO19="1",BG19,0)</f>
        <v>0</v>
      </c>
      <c r="AB19" s="77">
        <f>IF(AO19="7",BF19,0)</f>
        <v>0</v>
      </c>
      <c r="AC19" s="77">
        <f>IF(AO19="7",BG19,0)</f>
        <v>0</v>
      </c>
      <c r="AD19" s="77">
        <f>IF(AO19="2",BF19,0)</f>
        <v>0</v>
      </c>
      <c r="AE19" s="77">
        <f>IF(AO19="2",BG19,0)</f>
        <v>0</v>
      </c>
      <c r="AF19" s="77">
        <f>IF(AO19="0",BH19,0)</f>
        <v>0</v>
      </c>
      <c r="AG19" s="71" t="s">
        <v>129</v>
      </c>
      <c r="AH19" s="77">
        <f>IF(AL19=0,J19,0)</f>
        <v>0</v>
      </c>
      <c r="AI19" s="77">
        <f>IF(AL19=15,J19,0)</f>
        <v>0</v>
      </c>
      <c r="AJ19" s="77">
        <f>IF(AL19=21,J19,0)</f>
        <v>0</v>
      </c>
      <c r="AL19" s="77">
        <v>15</v>
      </c>
      <c r="AM19" s="77">
        <f>G19*0</f>
        <v>0</v>
      </c>
      <c r="AN19" s="77">
        <f>G19*(1-0)</f>
        <v>0</v>
      </c>
      <c r="AO19" s="79" t="s">
        <v>132</v>
      </c>
      <c r="AT19" s="77">
        <f>AU19+AV19</f>
        <v>0</v>
      </c>
      <c r="AU19" s="77">
        <f>F19*AM19</f>
        <v>0</v>
      </c>
      <c r="AV19" s="77">
        <f>F19*AN19</f>
        <v>0</v>
      </c>
      <c r="AW19" s="79" t="s">
        <v>146</v>
      </c>
      <c r="AX19" s="79" t="s">
        <v>147</v>
      </c>
      <c r="AY19" s="71" t="s">
        <v>137</v>
      </c>
      <c r="BA19" s="77">
        <f>AU19+AV19</f>
        <v>0</v>
      </c>
      <c r="BB19" s="77">
        <f>G19/(100-BC19)*100</f>
        <v>0</v>
      </c>
      <c r="BC19" s="77">
        <v>0</v>
      </c>
      <c r="BD19" s="77">
        <f>L19</f>
        <v>2.6630500000000001</v>
      </c>
      <c r="BF19" s="77">
        <f>F19*AM19</f>
        <v>0</v>
      </c>
      <c r="BG19" s="77">
        <f>F19*AN19</f>
        <v>0</v>
      </c>
      <c r="BH19" s="77">
        <f>F19*G19</f>
        <v>0</v>
      </c>
      <c r="BI19" s="77"/>
      <c r="BJ19" s="77">
        <v>11</v>
      </c>
      <c r="BU19" s="77" t="e">
        <f>#REF!</f>
        <v>#REF!</v>
      </c>
      <c r="BV19" s="70" t="s">
        <v>988</v>
      </c>
    </row>
    <row r="20" spans="1:74" ht="121.5" customHeight="1" x14ac:dyDescent="0.25">
      <c r="A20" s="104"/>
      <c r="B20" s="81" t="s">
        <v>138</v>
      </c>
      <c r="C20" s="303" t="s">
        <v>989</v>
      </c>
      <c r="D20" s="304"/>
      <c r="E20" s="304"/>
      <c r="F20" s="304"/>
      <c r="G20" s="304"/>
      <c r="H20" s="304"/>
      <c r="I20" s="304"/>
      <c r="J20" s="304"/>
      <c r="K20" s="304"/>
      <c r="L20" s="304"/>
      <c r="M20" s="305"/>
    </row>
    <row r="21" spans="1:74" x14ac:dyDescent="0.25">
      <c r="A21" s="92" t="s">
        <v>158</v>
      </c>
      <c r="B21" s="69" t="s">
        <v>819</v>
      </c>
      <c r="C21" s="306" t="s">
        <v>990</v>
      </c>
      <c r="D21" s="307"/>
      <c r="E21" s="69" t="s">
        <v>166</v>
      </c>
      <c r="F21" s="77">
        <v>5.36</v>
      </c>
      <c r="G21" s="218">
        <v>0</v>
      </c>
      <c r="H21" s="77">
        <f>F21*AM21</f>
        <v>0</v>
      </c>
      <c r="I21" s="77">
        <f>F21*AN21</f>
        <v>0</v>
      </c>
      <c r="J21" s="77">
        <f>F21*G21</f>
        <v>0</v>
      </c>
      <c r="K21" s="77">
        <v>0.33</v>
      </c>
      <c r="L21" s="77">
        <f>F21*K21</f>
        <v>1.7688000000000001</v>
      </c>
      <c r="M21" s="103" t="s">
        <v>35</v>
      </c>
      <c r="X21" s="77">
        <f>IF(AO21="5",BH21,0)</f>
        <v>0</v>
      </c>
      <c r="Z21" s="77">
        <f>IF(AO21="1",BF21,0)</f>
        <v>0</v>
      </c>
      <c r="AA21" s="77">
        <f>IF(AO21="1",BG21,0)</f>
        <v>0</v>
      </c>
      <c r="AB21" s="77">
        <f>IF(AO21="7",BF21,0)</f>
        <v>0</v>
      </c>
      <c r="AC21" s="77">
        <f>IF(AO21="7",BG21,0)</f>
        <v>0</v>
      </c>
      <c r="AD21" s="77">
        <f>IF(AO21="2",BF21,0)</f>
        <v>0</v>
      </c>
      <c r="AE21" s="77">
        <f>IF(AO21="2",BG21,0)</f>
        <v>0</v>
      </c>
      <c r="AF21" s="77">
        <f>IF(AO21="0",BH21,0)</f>
        <v>0</v>
      </c>
      <c r="AG21" s="71" t="s">
        <v>129</v>
      </c>
      <c r="AH21" s="77">
        <f>IF(AL21=0,J21,0)</f>
        <v>0</v>
      </c>
      <c r="AI21" s="77">
        <f>IF(AL21=15,J21,0)</f>
        <v>0</v>
      </c>
      <c r="AJ21" s="77">
        <f>IF(AL21=21,J21,0)</f>
        <v>0</v>
      </c>
      <c r="AL21" s="77">
        <v>15</v>
      </c>
      <c r="AM21" s="77">
        <f>G21*0</f>
        <v>0</v>
      </c>
      <c r="AN21" s="77">
        <f>G21*(1-0)</f>
        <v>0</v>
      </c>
      <c r="AO21" s="79" t="s">
        <v>132</v>
      </c>
      <c r="AT21" s="77">
        <f>AU21+AV21</f>
        <v>0</v>
      </c>
      <c r="AU21" s="77">
        <f>F21*AM21</f>
        <v>0</v>
      </c>
      <c r="AV21" s="77">
        <f>F21*AN21</f>
        <v>0</v>
      </c>
      <c r="AW21" s="79" t="s">
        <v>146</v>
      </c>
      <c r="AX21" s="79" t="s">
        <v>147</v>
      </c>
      <c r="AY21" s="71" t="s">
        <v>137</v>
      </c>
      <c r="BA21" s="77">
        <f>AU21+AV21</f>
        <v>0</v>
      </c>
      <c r="BB21" s="77">
        <f>G21/(100-BC21)*100</f>
        <v>0</v>
      </c>
      <c r="BC21" s="77">
        <v>0</v>
      </c>
      <c r="BD21" s="77">
        <f>L21</f>
        <v>1.7688000000000001</v>
      </c>
      <c r="BF21" s="77">
        <f>F21*AM21</f>
        <v>0</v>
      </c>
      <c r="BG21" s="77">
        <f>F21*AN21</f>
        <v>0</v>
      </c>
      <c r="BH21" s="77">
        <f>F21*G21</f>
        <v>0</v>
      </c>
      <c r="BI21" s="77"/>
      <c r="BJ21" s="77">
        <v>11</v>
      </c>
      <c r="BU21" s="77" t="e">
        <f>#REF!</f>
        <v>#REF!</v>
      </c>
      <c r="BV21" s="70" t="s">
        <v>990</v>
      </c>
    </row>
    <row r="22" spans="1:74" ht="67.5" customHeight="1" x14ac:dyDescent="0.25">
      <c r="A22" s="104"/>
      <c r="B22" s="81" t="s">
        <v>138</v>
      </c>
      <c r="C22" s="303" t="s">
        <v>991</v>
      </c>
      <c r="D22" s="304"/>
      <c r="E22" s="304"/>
      <c r="F22" s="304"/>
      <c r="G22" s="304"/>
      <c r="H22" s="304"/>
      <c r="I22" s="304"/>
      <c r="J22" s="304"/>
      <c r="K22" s="304"/>
      <c r="L22" s="304"/>
      <c r="M22" s="305"/>
    </row>
    <row r="23" spans="1:74" x14ac:dyDescent="0.25">
      <c r="A23" s="105" t="s">
        <v>129</v>
      </c>
      <c r="B23" s="74" t="s">
        <v>172</v>
      </c>
      <c r="C23" s="314" t="s">
        <v>173</v>
      </c>
      <c r="D23" s="315"/>
      <c r="E23" s="75" t="s">
        <v>87</v>
      </c>
      <c r="F23" s="75" t="s">
        <v>87</v>
      </c>
      <c r="G23" s="75" t="s">
        <v>87</v>
      </c>
      <c r="H23" s="67">
        <f>SUM(H24:H24)</f>
        <v>0</v>
      </c>
      <c r="I23" s="67">
        <f>SUM(I24:I24)</f>
        <v>0</v>
      </c>
      <c r="J23" s="67">
        <f>SUM(J24:J24)</f>
        <v>0</v>
      </c>
      <c r="K23" s="71" t="s">
        <v>129</v>
      </c>
      <c r="L23" s="67">
        <f>SUM(L24:L24)</f>
        <v>0</v>
      </c>
      <c r="M23" s="106" t="s">
        <v>129</v>
      </c>
      <c r="AG23" s="71" t="s">
        <v>129</v>
      </c>
      <c r="AQ23" s="67">
        <f>SUM(AH24:AH24)</f>
        <v>0</v>
      </c>
      <c r="AR23" s="67">
        <f>SUM(AI24:AI24)</f>
        <v>0</v>
      </c>
      <c r="AS23" s="67">
        <f>SUM(AJ24:AJ24)</f>
        <v>0</v>
      </c>
    </row>
    <row r="24" spans="1:74" x14ac:dyDescent="0.25">
      <c r="A24" s="92" t="s">
        <v>163</v>
      </c>
      <c r="B24" s="69" t="s">
        <v>175</v>
      </c>
      <c r="C24" s="306" t="s">
        <v>176</v>
      </c>
      <c r="D24" s="307"/>
      <c r="E24" s="69" t="s">
        <v>177</v>
      </c>
      <c r="F24" s="77">
        <v>1</v>
      </c>
      <c r="G24" s="218">
        <v>0</v>
      </c>
      <c r="H24" s="77">
        <f>F24*AM24</f>
        <v>0</v>
      </c>
      <c r="I24" s="77">
        <f>F24*AN24</f>
        <v>0</v>
      </c>
      <c r="J24" s="77">
        <f>F24*G24</f>
        <v>0</v>
      </c>
      <c r="K24" s="77">
        <v>0</v>
      </c>
      <c r="L24" s="77">
        <f>F24*K24</f>
        <v>0</v>
      </c>
      <c r="M24" s="103" t="s">
        <v>35</v>
      </c>
      <c r="X24" s="77">
        <f>IF(AO24="5",BH24,0)</f>
        <v>0</v>
      </c>
      <c r="Z24" s="77">
        <f>IF(AO24="1",BF24,0)</f>
        <v>0</v>
      </c>
      <c r="AA24" s="77">
        <f>IF(AO24="1",BG24,0)</f>
        <v>0</v>
      </c>
      <c r="AB24" s="77">
        <f>IF(AO24="7",BF24,0)</f>
        <v>0</v>
      </c>
      <c r="AC24" s="77">
        <f>IF(AO24="7",BG24,0)</f>
        <v>0</v>
      </c>
      <c r="AD24" s="77">
        <f>IF(AO24="2",BF24,0)</f>
        <v>0</v>
      </c>
      <c r="AE24" s="77">
        <f>IF(AO24="2",BG24,0)</f>
        <v>0</v>
      </c>
      <c r="AF24" s="77">
        <f>IF(AO24="0",BH24,0)</f>
        <v>0</v>
      </c>
      <c r="AG24" s="71" t="s">
        <v>129</v>
      </c>
      <c r="AH24" s="77">
        <f>IF(AL24=0,J24,0)</f>
        <v>0</v>
      </c>
      <c r="AI24" s="77">
        <f>IF(AL24=15,J24,0)</f>
        <v>0</v>
      </c>
      <c r="AJ24" s="77">
        <f>IF(AL24=21,J24,0)</f>
        <v>0</v>
      </c>
      <c r="AL24" s="77">
        <v>15</v>
      </c>
      <c r="AM24" s="77">
        <f>G24*0</f>
        <v>0</v>
      </c>
      <c r="AN24" s="77">
        <f>G24*(1-0)</f>
        <v>0</v>
      </c>
      <c r="AO24" s="79" t="s">
        <v>132</v>
      </c>
      <c r="AT24" s="77">
        <f>AU24+AV24</f>
        <v>0</v>
      </c>
      <c r="AU24" s="77">
        <f>F24*AM24</f>
        <v>0</v>
      </c>
      <c r="AV24" s="77">
        <f>F24*AN24</f>
        <v>0</v>
      </c>
      <c r="AW24" s="79" t="s">
        <v>178</v>
      </c>
      <c r="AX24" s="79" t="s">
        <v>147</v>
      </c>
      <c r="AY24" s="71" t="s">
        <v>137</v>
      </c>
      <c r="BA24" s="77">
        <f>AU24+AV24</f>
        <v>0</v>
      </c>
      <c r="BB24" s="77">
        <f>G24/(100-BC24)*100</f>
        <v>0</v>
      </c>
      <c r="BC24" s="77">
        <v>0</v>
      </c>
      <c r="BD24" s="77">
        <f>L24</f>
        <v>0</v>
      </c>
      <c r="BF24" s="77">
        <f>F24*AM24</f>
        <v>0</v>
      </c>
      <c r="BG24" s="77">
        <f>F24*AN24</f>
        <v>0</v>
      </c>
      <c r="BH24" s="77">
        <f>F24*G24</f>
        <v>0</v>
      </c>
      <c r="BI24" s="77"/>
      <c r="BJ24" s="77">
        <v>12</v>
      </c>
      <c r="BU24" s="77" t="e">
        <f>#REF!</f>
        <v>#REF!</v>
      </c>
      <c r="BV24" s="70" t="s">
        <v>176</v>
      </c>
    </row>
    <row r="25" spans="1:74" ht="40.5" customHeight="1" thickBot="1" x14ac:dyDescent="0.3">
      <c r="A25" s="107"/>
      <c r="B25" s="108" t="s">
        <v>138</v>
      </c>
      <c r="C25" s="308" t="s">
        <v>992</v>
      </c>
      <c r="D25" s="309"/>
      <c r="E25" s="309"/>
      <c r="F25" s="309"/>
      <c r="G25" s="309"/>
      <c r="H25" s="309"/>
      <c r="I25" s="309"/>
      <c r="J25" s="309"/>
      <c r="K25" s="309"/>
      <c r="L25" s="309"/>
      <c r="M25" s="310"/>
    </row>
    <row r="26" spans="1:74" x14ac:dyDescent="0.25">
      <c r="A26" s="97" t="s">
        <v>129</v>
      </c>
      <c r="B26" s="98" t="s">
        <v>180</v>
      </c>
      <c r="C26" s="318" t="s">
        <v>181</v>
      </c>
      <c r="D26" s="319"/>
      <c r="E26" s="99" t="s">
        <v>87</v>
      </c>
      <c r="F26" s="99" t="s">
        <v>87</v>
      </c>
      <c r="G26" s="99" t="s">
        <v>87</v>
      </c>
      <c r="H26" s="100">
        <f>SUM(H27:H33)</f>
        <v>0</v>
      </c>
      <c r="I26" s="100">
        <f>SUM(I27:I33)</f>
        <v>0</v>
      </c>
      <c r="J26" s="100">
        <f>SUM(J27:J33)</f>
        <v>0</v>
      </c>
      <c r="K26" s="101" t="s">
        <v>129</v>
      </c>
      <c r="L26" s="100">
        <f>SUM(L27:L33)</f>
        <v>0</v>
      </c>
      <c r="M26" s="102" t="s">
        <v>129</v>
      </c>
      <c r="AG26" s="71" t="s">
        <v>129</v>
      </c>
      <c r="AQ26" s="67">
        <f>SUM(AH27:AH33)</f>
        <v>0</v>
      </c>
      <c r="AR26" s="67">
        <f>SUM(AI27:AI33)</f>
        <v>0</v>
      </c>
      <c r="AS26" s="67">
        <f>SUM(AJ27:AJ33)</f>
        <v>0</v>
      </c>
    </row>
    <row r="27" spans="1:74" x14ac:dyDescent="0.25">
      <c r="A27" s="92" t="s">
        <v>168</v>
      </c>
      <c r="B27" s="69" t="s">
        <v>825</v>
      </c>
      <c r="C27" s="306" t="s">
        <v>907</v>
      </c>
      <c r="D27" s="307"/>
      <c r="E27" s="69" t="s">
        <v>177</v>
      </c>
      <c r="F27" s="77">
        <v>4.26</v>
      </c>
      <c r="G27" s="218">
        <v>0</v>
      </c>
      <c r="H27" s="77">
        <f>F27*AM27</f>
        <v>0</v>
      </c>
      <c r="I27" s="77">
        <f>F27*AN27</f>
        <v>0</v>
      </c>
      <c r="J27" s="77">
        <f>F27*G27</f>
        <v>0</v>
      </c>
      <c r="K27" s="77">
        <v>0</v>
      </c>
      <c r="L27" s="77">
        <f>F27*K27</f>
        <v>0</v>
      </c>
      <c r="M27" s="103"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f>
        <v>0</v>
      </c>
      <c r="AN27" s="77">
        <f>G27*(1-0)</f>
        <v>0</v>
      </c>
      <c r="AO27" s="79" t="s">
        <v>132</v>
      </c>
      <c r="AT27" s="77">
        <f>AU27+AV27</f>
        <v>0</v>
      </c>
      <c r="AU27" s="77">
        <f>F27*AM27</f>
        <v>0</v>
      </c>
      <c r="AV27" s="77">
        <f>F27*AN27</f>
        <v>0</v>
      </c>
      <c r="AW27" s="79" t="s">
        <v>185</v>
      </c>
      <c r="AX27" s="79" t="s">
        <v>147</v>
      </c>
      <c r="AY27" s="71" t="s">
        <v>137</v>
      </c>
      <c r="BA27" s="77">
        <f>AU27+AV27</f>
        <v>0</v>
      </c>
      <c r="BB27" s="77">
        <f>G27/(100-BC27)*100</f>
        <v>0</v>
      </c>
      <c r="BC27" s="77">
        <v>0</v>
      </c>
      <c r="BD27" s="77">
        <f>L27</f>
        <v>0</v>
      </c>
      <c r="BF27" s="77">
        <f>F27*AM27</f>
        <v>0</v>
      </c>
      <c r="BG27" s="77">
        <f>F27*AN27</f>
        <v>0</v>
      </c>
      <c r="BH27" s="77">
        <f>F27*G27</f>
        <v>0</v>
      </c>
      <c r="BI27" s="77"/>
      <c r="BJ27" s="77">
        <v>13</v>
      </c>
      <c r="BU27" s="77" t="e">
        <f>#REF!</f>
        <v>#REF!</v>
      </c>
      <c r="BV27" s="70" t="s">
        <v>907</v>
      </c>
    </row>
    <row r="28" spans="1:74" ht="121.5" customHeight="1" x14ac:dyDescent="0.25">
      <c r="A28" s="104"/>
      <c r="B28" s="81" t="s">
        <v>138</v>
      </c>
      <c r="C28" s="303" t="s">
        <v>993</v>
      </c>
      <c r="D28" s="304"/>
      <c r="E28" s="304"/>
      <c r="F28" s="304"/>
      <c r="G28" s="304"/>
      <c r="H28" s="304"/>
      <c r="I28" s="304"/>
      <c r="J28" s="304"/>
      <c r="K28" s="304"/>
      <c r="L28" s="304"/>
      <c r="M28" s="305"/>
    </row>
    <row r="29" spans="1:74" x14ac:dyDescent="0.25">
      <c r="A29" s="92" t="s">
        <v>174</v>
      </c>
      <c r="B29" s="69" t="s">
        <v>188</v>
      </c>
      <c r="C29" s="306" t="s">
        <v>909</v>
      </c>
      <c r="D29" s="307"/>
      <c r="E29" s="69" t="s">
        <v>177</v>
      </c>
      <c r="F29" s="77">
        <v>2.13</v>
      </c>
      <c r="G29" s="218">
        <v>0</v>
      </c>
      <c r="H29" s="77">
        <f>F29*AM29</f>
        <v>0</v>
      </c>
      <c r="I29" s="77">
        <f>F29*AN29</f>
        <v>0</v>
      </c>
      <c r="J29" s="77">
        <f>F29*G29</f>
        <v>0</v>
      </c>
      <c r="K29" s="77">
        <v>0</v>
      </c>
      <c r="L29" s="77">
        <f>F29*K29</f>
        <v>0</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185</v>
      </c>
      <c r="AX29" s="79" t="s">
        <v>147</v>
      </c>
      <c r="AY29" s="71" t="s">
        <v>137</v>
      </c>
      <c r="BA29" s="77">
        <f>AU29+AV29</f>
        <v>0</v>
      </c>
      <c r="BB29" s="77">
        <f>G29/(100-BC29)*100</f>
        <v>0</v>
      </c>
      <c r="BC29" s="77">
        <v>0</v>
      </c>
      <c r="BD29" s="77">
        <f>L29</f>
        <v>0</v>
      </c>
      <c r="BF29" s="77">
        <f>F29*AM29</f>
        <v>0</v>
      </c>
      <c r="BG29" s="77">
        <f>F29*AN29</f>
        <v>0</v>
      </c>
      <c r="BH29" s="77">
        <f>F29*G29</f>
        <v>0</v>
      </c>
      <c r="BI29" s="77"/>
      <c r="BJ29" s="77">
        <v>13</v>
      </c>
      <c r="BU29" s="77" t="e">
        <f>#REF!</f>
        <v>#REF!</v>
      </c>
      <c r="BV29" s="70" t="s">
        <v>909</v>
      </c>
    </row>
    <row r="30" spans="1:74" ht="40.5" customHeight="1" x14ac:dyDescent="0.25">
      <c r="A30" s="104"/>
      <c r="B30" s="81" t="s">
        <v>138</v>
      </c>
      <c r="C30" s="303" t="s">
        <v>994</v>
      </c>
      <c r="D30" s="304"/>
      <c r="E30" s="304"/>
      <c r="F30" s="304"/>
      <c r="G30" s="304"/>
      <c r="H30" s="304"/>
      <c r="I30" s="304"/>
      <c r="J30" s="304"/>
      <c r="K30" s="304"/>
      <c r="L30" s="304"/>
      <c r="M30" s="305"/>
    </row>
    <row r="31" spans="1:74" x14ac:dyDescent="0.25">
      <c r="A31" s="92" t="s">
        <v>182</v>
      </c>
      <c r="B31" s="69" t="s">
        <v>191</v>
      </c>
      <c r="C31" s="306" t="s">
        <v>192</v>
      </c>
      <c r="D31" s="307"/>
      <c r="E31" s="69" t="s">
        <v>177</v>
      </c>
      <c r="F31" s="77">
        <v>4.26</v>
      </c>
      <c r="G31" s="218">
        <v>0</v>
      </c>
      <c r="H31" s="77">
        <f>F31*AM31</f>
        <v>0</v>
      </c>
      <c r="I31" s="77">
        <f>F31*AN31</f>
        <v>0</v>
      </c>
      <c r="J31" s="77">
        <f>F31*G31</f>
        <v>0</v>
      </c>
      <c r="K31" s="77">
        <v>0</v>
      </c>
      <c r="L31" s="77">
        <f>F31*K31</f>
        <v>0</v>
      </c>
      <c r="M31" s="103" t="s">
        <v>35</v>
      </c>
      <c r="X31" s="77">
        <f>IF(AO31="5",BH31,0)</f>
        <v>0</v>
      </c>
      <c r="Z31" s="77">
        <f>IF(AO31="1",BF31,0)</f>
        <v>0</v>
      </c>
      <c r="AA31" s="77">
        <f>IF(AO31="1",BG31,0)</f>
        <v>0</v>
      </c>
      <c r="AB31" s="77">
        <f>IF(AO31="7",BF31,0)</f>
        <v>0</v>
      </c>
      <c r="AC31" s="77">
        <f>IF(AO31="7",BG31,0)</f>
        <v>0</v>
      </c>
      <c r="AD31" s="77">
        <f>IF(AO31="2",BF31,0)</f>
        <v>0</v>
      </c>
      <c r="AE31" s="77">
        <f>IF(AO31="2",BG31,0)</f>
        <v>0</v>
      </c>
      <c r="AF31" s="77">
        <f>IF(AO31="0",BH31,0)</f>
        <v>0</v>
      </c>
      <c r="AG31" s="71" t="s">
        <v>129</v>
      </c>
      <c r="AH31" s="77">
        <f>IF(AL31=0,J31,0)</f>
        <v>0</v>
      </c>
      <c r="AI31" s="77">
        <f>IF(AL31=15,J31,0)</f>
        <v>0</v>
      </c>
      <c r="AJ31" s="77">
        <f>IF(AL31=21,J31,0)</f>
        <v>0</v>
      </c>
      <c r="AL31" s="77">
        <v>15</v>
      </c>
      <c r="AM31" s="77">
        <f>G31*0</f>
        <v>0</v>
      </c>
      <c r="AN31" s="77">
        <f>G31*(1-0)</f>
        <v>0</v>
      </c>
      <c r="AO31" s="79" t="s">
        <v>132</v>
      </c>
      <c r="AT31" s="77">
        <f>AU31+AV31</f>
        <v>0</v>
      </c>
      <c r="AU31" s="77">
        <f>F31*AM31</f>
        <v>0</v>
      </c>
      <c r="AV31" s="77">
        <f>F31*AN31</f>
        <v>0</v>
      </c>
      <c r="AW31" s="79" t="s">
        <v>185</v>
      </c>
      <c r="AX31" s="79" t="s">
        <v>147</v>
      </c>
      <c r="AY31" s="71" t="s">
        <v>137</v>
      </c>
      <c r="BA31" s="77">
        <f>AU31+AV31</f>
        <v>0</v>
      </c>
      <c r="BB31" s="77">
        <f>G31/(100-BC31)*100</f>
        <v>0</v>
      </c>
      <c r="BC31" s="77">
        <v>0</v>
      </c>
      <c r="BD31" s="77">
        <f>L31</f>
        <v>0</v>
      </c>
      <c r="BF31" s="77">
        <f>F31*AM31</f>
        <v>0</v>
      </c>
      <c r="BG31" s="77">
        <f>F31*AN31</f>
        <v>0</v>
      </c>
      <c r="BH31" s="77">
        <f>F31*G31</f>
        <v>0</v>
      </c>
      <c r="BI31" s="77"/>
      <c r="BJ31" s="77">
        <v>13</v>
      </c>
      <c r="BU31" s="77" t="e">
        <f>#REF!</f>
        <v>#REF!</v>
      </c>
      <c r="BV31" s="70" t="s">
        <v>192</v>
      </c>
    </row>
    <row r="32" spans="1:74" ht="121.5" customHeight="1" x14ac:dyDescent="0.25">
      <c r="A32" s="104"/>
      <c r="B32" s="81" t="s">
        <v>138</v>
      </c>
      <c r="C32" s="303" t="s">
        <v>995</v>
      </c>
      <c r="D32" s="304"/>
      <c r="E32" s="304"/>
      <c r="F32" s="304"/>
      <c r="G32" s="304"/>
      <c r="H32" s="304"/>
      <c r="I32" s="304"/>
      <c r="J32" s="304"/>
      <c r="K32" s="304"/>
      <c r="L32" s="304"/>
      <c r="M32" s="305"/>
    </row>
    <row r="33" spans="1:74" x14ac:dyDescent="0.25">
      <c r="A33" s="92" t="s">
        <v>187</v>
      </c>
      <c r="B33" s="69" t="s">
        <v>194</v>
      </c>
      <c r="C33" s="306" t="s">
        <v>912</v>
      </c>
      <c r="D33" s="307"/>
      <c r="E33" s="69" t="s">
        <v>177</v>
      </c>
      <c r="F33" s="77">
        <v>1.06</v>
      </c>
      <c r="G33" s="218">
        <v>0</v>
      </c>
      <c r="H33" s="77">
        <f>F33*AM33</f>
        <v>0</v>
      </c>
      <c r="I33" s="77">
        <f>F33*AN33</f>
        <v>0</v>
      </c>
      <c r="J33" s="77">
        <f>F33*G33</f>
        <v>0</v>
      </c>
      <c r="K33" s="77">
        <v>0</v>
      </c>
      <c r="L33" s="77">
        <f>F33*K33</f>
        <v>0</v>
      </c>
      <c r="M33" s="103" t="s">
        <v>35</v>
      </c>
      <c r="X33" s="77">
        <f>IF(AO33="5",BH33,0)</f>
        <v>0</v>
      </c>
      <c r="Z33" s="77">
        <f>IF(AO33="1",BF33,0)</f>
        <v>0</v>
      </c>
      <c r="AA33" s="77">
        <f>IF(AO33="1",BG33,0)</f>
        <v>0</v>
      </c>
      <c r="AB33" s="77">
        <f>IF(AO33="7",BF33,0)</f>
        <v>0</v>
      </c>
      <c r="AC33" s="77">
        <f>IF(AO33="7",BG33,0)</f>
        <v>0</v>
      </c>
      <c r="AD33" s="77">
        <f>IF(AO33="2",BF33,0)</f>
        <v>0</v>
      </c>
      <c r="AE33" s="77">
        <f>IF(AO33="2",BG33,0)</f>
        <v>0</v>
      </c>
      <c r="AF33" s="77">
        <f>IF(AO33="0",BH33,0)</f>
        <v>0</v>
      </c>
      <c r="AG33" s="71" t="s">
        <v>129</v>
      </c>
      <c r="AH33" s="77">
        <f>IF(AL33=0,J33,0)</f>
        <v>0</v>
      </c>
      <c r="AI33" s="77">
        <f>IF(AL33=15,J33,0)</f>
        <v>0</v>
      </c>
      <c r="AJ33" s="77">
        <f>IF(AL33=21,J33,0)</f>
        <v>0</v>
      </c>
      <c r="AL33" s="77">
        <v>15</v>
      </c>
      <c r="AM33" s="77">
        <f>G33*0</f>
        <v>0</v>
      </c>
      <c r="AN33" s="77">
        <f>G33*(1-0)</f>
        <v>0</v>
      </c>
      <c r="AO33" s="79" t="s">
        <v>132</v>
      </c>
      <c r="AT33" s="77">
        <f>AU33+AV33</f>
        <v>0</v>
      </c>
      <c r="AU33" s="77">
        <f>F33*AM33</f>
        <v>0</v>
      </c>
      <c r="AV33" s="77">
        <f>F33*AN33</f>
        <v>0</v>
      </c>
      <c r="AW33" s="79" t="s">
        <v>185</v>
      </c>
      <c r="AX33" s="79" t="s">
        <v>147</v>
      </c>
      <c r="AY33" s="71" t="s">
        <v>137</v>
      </c>
      <c r="BA33" s="77">
        <f>AU33+AV33</f>
        <v>0</v>
      </c>
      <c r="BB33" s="77">
        <f>G33/(100-BC33)*100</f>
        <v>0</v>
      </c>
      <c r="BC33" s="77">
        <v>0</v>
      </c>
      <c r="BD33" s="77">
        <f>L33</f>
        <v>0</v>
      </c>
      <c r="BF33" s="77">
        <f>F33*AM33</f>
        <v>0</v>
      </c>
      <c r="BG33" s="77">
        <f>F33*AN33</f>
        <v>0</v>
      </c>
      <c r="BH33" s="77">
        <f>F33*G33</f>
        <v>0</v>
      </c>
      <c r="BI33" s="77"/>
      <c r="BJ33" s="77">
        <v>13</v>
      </c>
      <c r="BU33" s="77" t="e">
        <f>#REF!</f>
        <v>#REF!</v>
      </c>
      <c r="BV33" s="70" t="s">
        <v>912</v>
      </c>
    </row>
    <row r="34" spans="1:74" ht="40.5" customHeight="1" x14ac:dyDescent="0.25">
      <c r="A34" s="104"/>
      <c r="B34" s="81" t="s">
        <v>138</v>
      </c>
      <c r="C34" s="303" t="s">
        <v>996</v>
      </c>
      <c r="D34" s="304"/>
      <c r="E34" s="304"/>
      <c r="F34" s="304"/>
      <c r="G34" s="304"/>
      <c r="H34" s="304"/>
      <c r="I34" s="304"/>
      <c r="J34" s="304"/>
      <c r="K34" s="304"/>
      <c r="L34" s="304"/>
      <c r="M34" s="305"/>
    </row>
    <row r="35" spans="1:74" x14ac:dyDescent="0.25">
      <c r="A35" s="105" t="s">
        <v>129</v>
      </c>
      <c r="B35" s="74" t="s">
        <v>204</v>
      </c>
      <c r="C35" s="314" t="s">
        <v>208</v>
      </c>
      <c r="D35" s="315"/>
      <c r="E35" s="75" t="s">
        <v>87</v>
      </c>
      <c r="F35" s="75" t="s">
        <v>87</v>
      </c>
      <c r="G35" s="75" t="s">
        <v>87</v>
      </c>
      <c r="H35" s="67">
        <f>SUM(H36:H38)</f>
        <v>0</v>
      </c>
      <c r="I35" s="67">
        <f>SUM(I36:I38)</f>
        <v>0</v>
      </c>
      <c r="J35" s="67">
        <f>SUM(J36:J38)</f>
        <v>0</v>
      </c>
      <c r="K35" s="71" t="s">
        <v>129</v>
      </c>
      <c r="L35" s="67">
        <f>SUM(L36:L38)</f>
        <v>4.3E-3</v>
      </c>
      <c r="M35" s="106" t="s">
        <v>129</v>
      </c>
      <c r="AG35" s="71" t="s">
        <v>129</v>
      </c>
      <c r="AQ35" s="67">
        <f>SUM(AH36:AH38)</f>
        <v>0</v>
      </c>
      <c r="AR35" s="67">
        <f>SUM(AI36:AI38)</f>
        <v>0</v>
      </c>
      <c r="AS35" s="67">
        <f>SUM(AJ36:AJ38)</f>
        <v>0</v>
      </c>
    </row>
    <row r="36" spans="1:74" x14ac:dyDescent="0.25">
      <c r="A36" s="92" t="s">
        <v>140</v>
      </c>
      <c r="B36" s="69" t="s">
        <v>210</v>
      </c>
      <c r="C36" s="306" t="s">
        <v>211</v>
      </c>
      <c r="D36" s="307"/>
      <c r="E36" s="69" t="s">
        <v>166</v>
      </c>
      <c r="F36" s="77">
        <v>5</v>
      </c>
      <c r="G36" s="218">
        <v>0</v>
      </c>
      <c r="H36" s="77">
        <f>F36*AM36</f>
        <v>0</v>
      </c>
      <c r="I36" s="77">
        <f>F36*AN36</f>
        <v>0</v>
      </c>
      <c r="J36" s="77">
        <f>F36*G36</f>
        <v>0</v>
      </c>
      <c r="K36" s="77">
        <v>8.5999999999999998E-4</v>
      </c>
      <c r="L36" s="77">
        <f>F36*K36</f>
        <v>4.3E-3</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G36*0.088676717</f>
        <v>0</v>
      </c>
      <c r="AN36" s="77">
        <f>G36*(1-0.088676717)</f>
        <v>0</v>
      </c>
      <c r="AO36" s="79" t="s">
        <v>132</v>
      </c>
      <c r="AT36" s="77">
        <f>AU36+AV36</f>
        <v>0</v>
      </c>
      <c r="AU36" s="77">
        <f>F36*AM36</f>
        <v>0</v>
      </c>
      <c r="AV36" s="77">
        <f>F36*AN36</f>
        <v>0</v>
      </c>
      <c r="AW36" s="79" t="s">
        <v>212</v>
      </c>
      <c r="AX36" s="79" t="s">
        <v>147</v>
      </c>
      <c r="AY36" s="71" t="s">
        <v>137</v>
      </c>
      <c r="BA36" s="77">
        <f>AU36+AV36</f>
        <v>0</v>
      </c>
      <c r="BB36" s="77">
        <f>G36/(100-BC36)*100</f>
        <v>0</v>
      </c>
      <c r="BC36" s="77">
        <v>0</v>
      </c>
      <c r="BD36" s="77">
        <f>L36</f>
        <v>4.3E-3</v>
      </c>
      <c r="BF36" s="77">
        <f>F36*AM36</f>
        <v>0</v>
      </c>
      <c r="BG36" s="77">
        <f>F36*AN36</f>
        <v>0</v>
      </c>
      <c r="BH36" s="77">
        <f>F36*G36</f>
        <v>0</v>
      </c>
      <c r="BI36" s="77"/>
      <c r="BJ36" s="77">
        <v>15</v>
      </c>
      <c r="BU36" s="77" t="e">
        <f>#REF!</f>
        <v>#REF!</v>
      </c>
      <c r="BV36" s="70" t="s">
        <v>211</v>
      </c>
    </row>
    <row r="37" spans="1:74" ht="40.5" customHeight="1" x14ac:dyDescent="0.25">
      <c r="A37" s="104"/>
      <c r="B37" s="81" t="s">
        <v>138</v>
      </c>
      <c r="C37" s="303" t="s">
        <v>997</v>
      </c>
      <c r="D37" s="304"/>
      <c r="E37" s="304"/>
      <c r="F37" s="304"/>
      <c r="G37" s="304"/>
      <c r="H37" s="304"/>
      <c r="I37" s="304"/>
      <c r="J37" s="304"/>
      <c r="K37" s="304"/>
      <c r="L37" s="304"/>
      <c r="M37" s="305"/>
    </row>
    <row r="38" spans="1:74" x14ac:dyDescent="0.25">
      <c r="A38" s="92" t="s">
        <v>172</v>
      </c>
      <c r="B38" s="69" t="s">
        <v>215</v>
      </c>
      <c r="C38" s="306" t="s">
        <v>216</v>
      </c>
      <c r="D38" s="307"/>
      <c r="E38" s="69" t="s">
        <v>166</v>
      </c>
      <c r="F38" s="77">
        <v>5</v>
      </c>
      <c r="G38" s="218">
        <v>0</v>
      </c>
      <c r="H38" s="77">
        <f>F38*AM38</f>
        <v>0</v>
      </c>
      <c r="I38" s="77">
        <f>F38*AN38</f>
        <v>0</v>
      </c>
      <c r="J38" s="77">
        <f>F38*G38</f>
        <v>0</v>
      </c>
      <c r="K38" s="77">
        <v>0</v>
      </c>
      <c r="L38" s="77">
        <f>F38*K38</f>
        <v>0</v>
      </c>
      <c r="M38" s="103" t="s">
        <v>35</v>
      </c>
      <c r="X38" s="77">
        <f>IF(AO38="5",BH38,0)</f>
        <v>0</v>
      </c>
      <c r="Z38" s="77">
        <f>IF(AO38="1",BF38,0)</f>
        <v>0</v>
      </c>
      <c r="AA38" s="77">
        <f>IF(AO38="1",BG38,0)</f>
        <v>0</v>
      </c>
      <c r="AB38" s="77">
        <f>IF(AO38="7",BF38,0)</f>
        <v>0</v>
      </c>
      <c r="AC38" s="77">
        <f>IF(AO38="7",BG38,0)</f>
        <v>0</v>
      </c>
      <c r="AD38" s="77">
        <f>IF(AO38="2",BF38,0)</f>
        <v>0</v>
      </c>
      <c r="AE38" s="77">
        <f>IF(AO38="2",BG38,0)</f>
        <v>0</v>
      </c>
      <c r="AF38" s="77">
        <f>IF(AO38="0",BH38,0)</f>
        <v>0</v>
      </c>
      <c r="AG38" s="71" t="s">
        <v>129</v>
      </c>
      <c r="AH38" s="77">
        <f>IF(AL38=0,J38,0)</f>
        <v>0</v>
      </c>
      <c r="AI38" s="77">
        <f>IF(AL38=15,J38,0)</f>
        <v>0</v>
      </c>
      <c r="AJ38" s="77">
        <f>IF(AL38=21,J38,0)</f>
        <v>0</v>
      </c>
      <c r="AL38" s="77">
        <v>15</v>
      </c>
      <c r="AM38" s="77">
        <f>G38*0</f>
        <v>0</v>
      </c>
      <c r="AN38" s="77">
        <f>G38*(1-0)</f>
        <v>0</v>
      </c>
      <c r="AO38" s="79" t="s">
        <v>132</v>
      </c>
      <c r="AT38" s="77">
        <f>AU38+AV38</f>
        <v>0</v>
      </c>
      <c r="AU38" s="77">
        <f>F38*AM38</f>
        <v>0</v>
      </c>
      <c r="AV38" s="77">
        <f>F38*AN38</f>
        <v>0</v>
      </c>
      <c r="AW38" s="79" t="s">
        <v>212</v>
      </c>
      <c r="AX38" s="79" t="s">
        <v>147</v>
      </c>
      <c r="AY38" s="71" t="s">
        <v>137</v>
      </c>
      <c r="BA38" s="77">
        <f>AU38+AV38</f>
        <v>0</v>
      </c>
      <c r="BB38" s="77">
        <f>G38/(100-BC38)*100</f>
        <v>0</v>
      </c>
      <c r="BC38" s="77">
        <v>0</v>
      </c>
      <c r="BD38" s="77">
        <f>L38</f>
        <v>0</v>
      </c>
      <c r="BF38" s="77">
        <f>F38*AM38</f>
        <v>0</v>
      </c>
      <c r="BG38" s="77">
        <f>F38*AN38</f>
        <v>0</v>
      </c>
      <c r="BH38" s="77">
        <f>F38*G38</f>
        <v>0</v>
      </c>
      <c r="BI38" s="77"/>
      <c r="BJ38" s="77">
        <v>15</v>
      </c>
      <c r="BU38" s="77" t="e">
        <f>#REF!</f>
        <v>#REF!</v>
      </c>
      <c r="BV38" s="70" t="s">
        <v>216</v>
      </c>
    </row>
    <row r="39" spans="1:74" ht="40.5" customHeight="1" x14ac:dyDescent="0.25">
      <c r="A39" s="104"/>
      <c r="B39" s="81" t="s">
        <v>138</v>
      </c>
      <c r="C39" s="303" t="s">
        <v>998</v>
      </c>
      <c r="D39" s="304"/>
      <c r="E39" s="304"/>
      <c r="F39" s="304"/>
      <c r="G39" s="304"/>
      <c r="H39" s="304"/>
      <c r="I39" s="304"/>
      <c r="J39" s="304"/>
      <c r="K39" s="304"/>
      <c r="L39" s="304"/>
      <c r="M39" s="305"/>
    </row>
    <row r="40" spans="1:74" x14ac:dyDescent="0.25">
      <c r="A40" s="105" t="s">
        <v>129</v>
      </c>
      <c r="B40" s="74" t="s">
        <v>209</v>
      </c>
      <c r="C40" s="314" t="s">
        <v>218</v>
      </c>
      <c r="D40" s="315"/>
      <c r="E40" s="75" t="s">
        <v>87</v>
      </c>
      <c r="F40" s="75" t="s">
        <v>87</v>
      </c>
      <c r="G40" s="75" t="s">
        <v>87</v>
      </c>
      <c r="H40" s="67">
        <f>SUM(H41:H47)</f>
        <v>0</v>
      </c>
      <c r="I40" s="67">
        <f>SUM(I41:I47)</f>
        <v>0</v>
      </c>
      <c r="J40" s="67">
        <f>SUM(J41:J47)</f>
        <v>0</v>
      </c>
      <c r="K40" s="71" t="s">
        <v>129</v>
      </c>
      <c r="L40" s="67">
        <f>SUM(L41:L47)</f>
        <v>0</v>
      </c>
      <c r="M40" s="106" t="s">
        <v>129</v>
      </c>
      <c r="AG40" s="71" t="s">
        <v>129</v>
      </c>
      <c r="AQ40" s="67">
        <f>SUM(AH41:AH47)</f>
        <v>0</v>
      </c>
      <c r="AR40" s="67">
        <f>SUM(AI41:AI47)</f>
        <v>0</v>
      </c>
      <c r="AS40" s="67">
        <f>SUM(AJ41:AJ47)</f>
        <v>0</v>
      </c>
    </row>
    <row r="41" spans="1:74" x14ac:dyDescent="0.25">
      <c r="A41" s="92" t="s">
        <v>180</v>
      </c>
      <c r="B41" s="69" t="s">
        <v>220</v>
      </c>
      <c r="C41" s="306" t="s">
        <v>221</v>
      </c>
      <c r="D41" s="307"/>
      <c r="E41" s="69" t="s">
        <v>177</v>
      </c>
      <c r="F41" s="77">
        <v>4.26</v>
      </c>
      <c r="G41" s="218">
        <v>0</v>
      </c>
      <c r="H41" s="77">
        <f>F41*AM41</f>
        <v>0</v>
      </c>
      <c r="I41" s="77">
        <f>F41*AN41</f>
        <v>0</v>
      </c>
      <c r="J41" s="77">
        <f>F41*G41</f>
        <v>0</v>
      </c>
      <c r="K41" s="77">
        <v>0</v>
      </c>
      <c r="L41" s="77">
        <f>F41*K41</f>
        <v>0</v>
      </c>
      <c r="M41" s="103" t="s">
        <v>35</v>
      </c>
      <c r="X41" s="77">
        <f>IF(AO41="5",BH41,0)</f>
        <v>0</v>
      </c>
      <c r="Z41" s="77">
        <f>IF(AO41="1",BF41,0)</f>
        <v>0</v>
      </c>
      <c r="AA41" s="77">
        <f>IF(AO41="1",BG41,0)</f>
        <v>0</v>
      </c>
      <c r="AB41" s="77">
        <f>IF(AO41="7",BF41,0)</f>
        <v>0</v>
      </c>
      <c r="AC41" s="77">
        <f>IF(AO41="7",BG41,0)</f>
        <v>0</v>
      </c>
      <c r="AD41" s="77">
        <f>IF(AO41="2",BF41,0)</f>
        <v>0</v>
      </c>
      <c r="AE41" s="77">
        <f>IF(AO41="2",BG41,0)</f>
        <v>0</v>
      </c>
      <c r="AF41" s="77">
        <f>IF(AO41="0",BH41,0)</f>
        <v>0</v>
      </c>
      <c r="AG41" s="71" t="s">
        <v>129</v>
      </c>
      <c r="AH41" s="77">
        <f>IF(AL41=0,J41,0)</f>
        <v>0</v>
      </c>
      <c r="AI41" s="77">
        <f>IF(AL41=15,J41,0)</f>
        <v>0</v>
      </c>
      <c r="AJ41" s="77">
        <f>IF(AL41=21,J41,0)</f>
        <v>0</v>
      </c>
      <c r="AL41" s="77">
        <v>15</v>
      </c>
      <c r="AM41" s="77">
        <f>G41*0</f>
        <v>0</v>
      </c>
      <c r="AN41" s="77">
        <f>G41*(1-0)</f>
        <v>0</v>
      </c>
      <c r="AO41" s="79" t="s">
        <v>132</v>
      </c>
      <c r="AT41" s="77">
        <f>AU41+AV41</f>
        <v>0</v>
      </c>
      <c r="AU41" s="77">
        <f>F41*AM41</f>
        <v>0</v>
      </c>
      <c r="AV41" s="77">
        <f>F41*AN41</f>
        <v>0</v>
      </c>
      <c r="AW41" s="79" t="s">
        <v>222</v>
      </c>
      <c r="AX41" s="79" t="s">
        <v>147</v>
      </c>
      <c r="AY41" s="71" t="s">
        <v>137</v>
      </c>
      <c r="BA41" s="77">
        <f>AU41+AV41</f>
        <v>0</v>
      </c>
      <c r="BB41" s="77">
        <f>G41/(100-BC41)*100</f>
        <v>0</v>
      </c>
      <c r="BC41" s="77">
        <v>0</v>
      </c>
      <c r="BD41" s="77">
        <f>L41</f>
        <v>0</v>
      </c>
      <c r="BF41" s="77">
        <f>F41*AM41</f>
        <v>0</v>
      </c>
      <c r="BG41" s="77">
        <f>F41*AN41</f>
        <v>0</v>
      </c>
      <c r="BH41" s="77">
        <f>F41*G41</f>
        <v>0</v>
      </c>
      <c r="BI41" s="77"/>
      <c r="BJ41" s="77">
        <v>16</v>
      </c>
      <c r="BU41" s="77" t="e">
        <f>#REF!</f>
        <v>#REF!</v>
      </c>
      <c r="BV41" s="70" t="s">
        <v>221</v>
      </c>
    </row>
    <row r="42" spans="1:74" ht="67.5" customHeight="1" x14ac:dyDescent="0.25">
      <c r="A42" s="104"/>
      <c r="B42" s="81" t="s">
        <v>138</v>
      </c>
      <c r="C42" s="303" t="s">
        <v>999</v>
      </c>
      <c r="D42" s="304"/>
      <c r="E42" s="304"/>
      <c r="F42" s="304"/>
      <c r="G42" s="304"/>
      <c r="H42" s="304"/>
      <c r="I42" s="304"/>
      <c r="J42" s="304"/>
      <c r="K42" s="304"/>
      <c r="L42" s="304"/>
      <c r="M42" s="305"/>
    </row>
    <row r="43" spans="1:74" x14ac:dyDescent="0.25">
      <c r="A43" s="92" t="s">
        <v>200</v>
      </c>
      <c r="B43" s="69" t="s">
        <v>918</v>
      </c>
      <c r="C43" s="306" t="s">
        <v>230</v>
      </c>
      <c r="D43" s="307"/>
      <c r="E43" s="69" t="s">
        <v>177</v>
      </c>
      <c r="F43" s="77">
        <v>3.32</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15</v>
      </c>
      <c r="AM43" s="77">
        <f>G43*0</f>
        <v>0</v>
      </c>
      <c r="AN43" s="77">
        <f>G43*(1-0)</f>
        <v>0</v>
      </c>
      <c r="AO43" s="79" t="s">
        <v>132</v>
      </c>
      <c r="AT43" s="77">
        <f>AU43+AV43</f>
        <v>0</v>
      </c>
      <c r="AU43" s="77">
        <f>F43*AM43</f>
        <v>0</v>
      </c>
      <c r="AV43" s="77">
        <f>F43*AN43</f>
        <v>0</v>
      </c>
      <c r="AW43" s="79" t="s">
        <v>222</v>
      </c>
      <c r="AX43" s="79" t="s">
        <v>147</v>
      </c>
      <c r="AY43" s="71" t="s">
        <v>137</v>
      </c>
      <c r="BA43" s="77">
        <f>AU43+AV43</f>
        <v>0</v>
      </c>
      <c r="BB43" s="77">
        <f>G43/(100-BC43)*100</f>
        <v>0</v>
      </c>
      <c r="BC43" s="77">
        <v>0</v>
      </c>
      <c r="BD43" s="77">
        <f>L43</f>
        <v>0</v>
      </c>
      <c r="BF43" s="77">
        <f>F43*AM43</f>
        <v>0</v>
      </c>
      <c r="BG43" s="77">
        <f>F43*AN43</f>
        <v>0</v>
      </c>
      <c r="BH43" s="77">
        <f>F43*G43</f>
        <v>0</v>
      </c>
      <c r="BI43" s="77"/>
      <c r="BJ43" s="77">
        <v>16</v>
      </c>
      <c r="BU43" s="77" t="e">
        <f>#REF!</f>
        <v>#REF!</v>
      </c>
      <c r="BV43" s="70" t="s">
        <v>230</v>
      </c>
    </row>
    <row r="44" spans="1:74" ht="67.5" customHeight="1" x14ac:dyDescent="0.25">
      <c r="A44" s="104"/>
      <c r="B44" s="81" t="s">
        <v>138</v>
      </c>
      <c r="C44" s="303" t="s">
        <v>1000</v>
      </c>
      <c r="D44" s="304"/>
      <c r="E44" s="304"/>
      <c r="F44" s="304"/>
      <c r="G44" s="304"/>
      <c r="H44" s="304"/>
      <c r="I44" s="304"/>
      <c r="J44" s="304"/>
      <c r="K44" s="304"/>
      <c r="L44" s="304"/>
      <c r="M44" s="305"/>
    </row>
    <row r="45" spans="1:74" x14ac:dyDescent="0.25">
      <c r="A45" s="92" t="s">
        <v>204</v>
      </c>
      <c r="B45" s="69" t="s">
        <v>840</v>
      </c>
      <c r="C45" s="306" t="s">
        <v>969</v>
      </c>
      <c r="D45" s="307"/>
      <c r="E45" s="69" t="s">
        <v>177</v>
      </c>
      <c r="F45" s="77">
        <v>10.4</v>
      </c>
      <c r="G45" s="218">
        <v>0</v>
      </c>
      <c r="H45" s="77">
        <f>F45*AM45</f>
        <v>0</v>
      </c>
      <c r="I45" s="77">
        <f>F45*AN45</f>
        <v>0</v>
      </c>
      <c r="J45" s="77">
        <f>F45*G45</f>
        <v>0</v>
      </c>
      <c r="K45" s="77">
        <v>0</v>
      </c>
      <c r="L45" s="77">
        <f>F45*K45</f>
        <v>0</v>
      </c>
      <c r="M45" s="103" t="s">
        <v>35</v>
      </c>
      <c r="X45" s="77">
        <f>IF(AO45="5",BH45,0)</f>
        <v>0</v>
      </c>
      <c r="Z45" s="77">
        <f>IF(AO45="1",BF45,0)</f>
        <v>0</v>
      </c>
      <c r="AA45" s="77">
        <f>IF(AO45="1",BG45,0)</f>
        <v>0</v>
      </c>
      <c r="AB45" s="77">
        <f>IF(AO45="7",BF45,0)</f>
        <v>0</v>
      </c>
      <c r="AC45" s="77">
        <f>IF(AO45="7",BG45,0)</f>
        <v>0</v>
      </c>
      <c r="AD45" s="77">
        <f>IF(AO45="2",BF45,0)</f>
        <v>0</v>
      </c>
      <c r="AE45" s="77">
        <f>IF(AO45="2",BG45,0)</f>
        <v>0</v>
      </c>
      <c r="AF45" s="77">
        <f>IF(AO45="0",BH45,0)</f>
        <v>0</v>
      </c>
      <c r="AG45" s="71" t="s">
        <v>129</v>
      </c>
      <c r="AH45" s="77">
        <f>IF(AL45=0,J45,0)</f>
        <v>0</v>
      </c>
      <c r="AI45" s="77">
        <f>IF(AL45=15,J45,0)</f>
        <v>0</v>
      </c>
      <c r="AJ45" s="77">
        <f>IF(AL45=21,J45,0)</f>
        <v>0</v>
      </c>
      <c r="AL45" s="77">
        <v>15</v>
      </c>
      <c r="AM45" s="77">
        <f>G45*0</f>
        <v>0</v>
      </c>
      <c r="AN45" s="77">
        <f>G45*(1-0)</f>
        <v>0</v>
      </c>
      <c r="AO45" s="79" t="s">
        <v>132</v>
      </c>
      <c r="AT45" s="77">
        <f>AU45+AV45</f>
        <v>0</v>
      </c>
      <c r="AU45" s="77">
        <f>F45*AM45</f>
        <v>0</v>
      </c>
      <c r="AV45" s="77">
        <f>F45*AN45</f>
        <v>0</v>
      </c>
      <c r="AW45" s="79" t="s">
        <v>222</v>
      </c>
      <c r="AX45" s="79" t="s">
        <v>147</v>
      </c>
      <c r="AY45" s="71" t="s">
        <v>137</v>
      </c>
      <c r="BA45" s="77">
        <f>AU45+AV45</f>
        <v>0</v>
      </c>
      <c r="BB45" s="77">
        <f>G45/(100-BC45)*100</f>
        <v>0</v>
      </c>
      <c r="BC45" s="77">
        <v>0</v>
      </c>
      <c r="BD45" s="77">
        <f>L45</f>
        <v>0</v>
      </c>
      <c r="BF45" s="77">
        <f>F45*AM45</f>
        <v>0</v>
      </c>
      <c r="BG45" s="77">
        <f>F45*AN45</f>
        <v>0</v>
      </c>
      <c r="BH45" s="77">
        <f>F45*G45</f>
        <v>0</v>
      </c>
      <c r="BI45" s="77"/>
      <c r="BJ45" s="77">
        <v>16</v>
      </c>
      <c r="BU45" s="77" t="e">
        <f>#REF!</f>
        <v>#REF!</v>
      </c>
      <c r="BV45" s="70" t="s">
        <v>969</v>
      </c>
    </row>
    <row r="46" spans="1:74" ht="40.5" customHeight="1" x14ac:dyDescent="0.25">
      <c r="A46" s="104"/>
      <c r="B46" s="81" t="s">
        <v>138</v>
      </c>
      <c r="C46" s="303" t="s">
        <v>1001</v>
      </c>
      <c r="D46" s="304"/>
      <c r="E46" s="304"/>
      <c r="F46" s="304"/>
      <c r="G46" s="304"/>
      <c r="H46" s="304"/>
      <c r="I46" s="304"/>
      <c r="J46" s="304"/>
      <c r="K46" s="304"/>
      <c r="L46" s="304"/>
      <c r="M46" s="305"/>
    </row>
    <row r="47" spans="1:74" x14ac:dyDescent="0.25">
      <c r="A47" s="92" t="s">
        <v>209</v>
      </c>
      <c r="B47" s="69" t="s">
        <v>241</v>
      </c>
      <c r="C47" s="306" t="s">
        <v>242</v>
      </c>
      <c r="D47" s="307"/>
      <c r="E47" s="69" t="s">
        <v>177</v>
      </c>
      <c r="F47" s="77">
        <v>10.4</v>
      </c>
      <c r="G47" s="218">
        <v>0</v>
      </c>
      <c r="H47" s="77">
        <f>F47*AM47</f>
        <v>0</v>
      </c>
      <c r="I47" s="77">
        <f>F47*AN47</f>
        <v>0</v>
      </c>
      <c r="J47" s="77">
        <f>F47*G47</f>
        <v>0</v>
      </c>
      <c r="K47" s="77">
        <v>0</v>
      </c>
      <c r="L47" s="77">
        <f>F47*K47</f>
        <v>0</v>
      </c>
      <c r="M47" s="103" t="s">
        <v>35</v>
      </c>
      <c r="X47" s="77">
        <f>IF(AO47="5",BH47,0)</f>
        <v>0</v>
      </c>
      <c r="Z47" s="77">
        <f>IF(AO47="1",BF47,0)</f>
        <v>0</v>
      </c>
      <c r="AA47" s="77">
        <f>IF(AO47="1",BG47,0)</f>
        <v>0</v>
      </c>
      <c r="AB47" s="77">
        <f>IF(AO47="7",BF47,0)</f>
        <v>0</v>
      </c>
      <c r="AC47" s="77">
        <f>IF(AO47="7",BG47,0)</f>
        <v>0</v>
      </c>
      <c r="AD47" s="77">
        <f>IF(AO47="2",BF47,0)</f>
        <v>0</v>
      </c>
      <c r="AE47" s="77">
        <f>IF(AO47="2",BG47,0)</f>
        <v>0</v>
      </c>
      <c r="AF47" s="77">
        <f>IF(AO47="0",BH47,0)</f>
        <v>0</v>
      </c>
      <c r="AG47" s="71" t="s">
        <v>129</v>
      </c>
      <c r="AH47" s="77">
        <f>IF(AL47=0,J47,0)</f>
        <v>0</v>
      </c>
      <c r="AI47" s="77">
        <f>IF(AL47=15,J47,0)</f>
        <v>0</v>
      </c>
      <c r="AJ47" s="77">
        <f>IF(AL47=21,J47,0)</f>
        <v>0</v>
      </c>
      <c r="AL47" s="77">
        <v>15</v>
      </c>
      <c r="AM47" s="77">
        <f>G47*0</f>
        <v>0</v>
      </c>
      <c r="AN47" s="77">
        <f>G47*(1-0)</f>
        <v>0</v>
      </c>
      <c r="AO47" s="79" t="s">
        <v>132</v>
      </c>
      <c r="AT47" s="77">
        <f>AU47+AV47</f>
        <v>0</v>
      </c>
      <c r="AU47" s="77">
        <f>F47*AM47</f>
        <v>0</v>
      </c>
      <c r="AV47" s="77">
        <f>F47*AN47</f>
        <v>0</v>
      </c>
      <c r="AW47" s="79" t="s">
        <v>222</v>
      </c>
      <c r="AX47" s="79" t="s">
        <v>147</v>
      </c>
      <c r="AY47" s="71" t="s">
        <v>137</v>
      </c>
      <c r="BA47" s="77">
        <f>AU47+AV47</f>
        <v>0</v>
      </c>
      <c r="BB47" s="77">
        <f>G47/(100-BC47)*100</f>
        <v>0</v>
      </c>
      <c r="BC47" s="77">
        <v>0</v>
      </c>
      <c r="BD47" s="77">
        <f>L47</f>
        <v>0</v>
      </c>
      <c r="BF47" s="77">
        <f>F47*AM47</f>
        <v>0</v>
      </c>
      <c r="BG47" s="77">
        <f>F47*AN47</f>
        <v>0</v>
      </c>
      <c r="BH47" s="77">
        <f>F47*G47</f>
        <v>0</v>
      </c>
      <c r="BI47" s="77"/>
      <c r="BJ47" s="77">
        <v>16</v>
      </c>
      <c r="BU47" s="77" t="e">
        <f>#REF!</f>
        <v>#REF!</v>
      </c>
      <c r="BV47" s="70" t="s">
        <v>242</v>
      </c>
    </row>
    <row r="48" spans="1:74" ht="40.5" customHeight="1" thickBot="1" x14ac:dyDescent="0.3">
      <c r="A48" s="107"/>
      <c r="B48" s="108" t="s">
        <v>138</v>
      </c>
      <c r="C48" s="308" t="s">
        <v>1002</v>
      </c>
      <c r="D48" s="309"/>
      <c r="E48" s="309"/>
      <c r="F48" s="309"/>
      <c r="G48" s="309"/>
      <c r="H48" s="309"/>
      <c r="I48" s="309"/>
      <c r="J48" s="309"/>
      <c r="K48" s="309"/>
      <c r="L48" s="309"/>
      <c r="M48" s="310"/>
    </row>
    <row r="49" spans="1:74" x14ac:dyDescent="0.25">
      <c r="A49" s="97" t="s">
        <v>129</v>
      </c>
      <c r="B49" s="98" t="s">
        <v>214</v>
      </c>
      <c r="C49" s="318" t="s">
        <v>244</v>
      </c>
      <c r="D49" s="319"/>
      <c r="E49" s="99" t="s">
        <v>87</v>
      </c>
      <c r="F49" s="99" t="s">
        <v>87</v>
      </c>
      <c r="G49" s="99" t="s">
        <v>87</v>
      </c>
      <c r="H49" s="100">
        <f>SUM(H50:H54)</f>
        <v>0</v>
      </c>
      <c r="I49" s="100">
        <f>SUM(I50:I54)</f>
        <v>0</v>
      </c>
      <c r="J49" s="100">
        <f>SUM(J50:J54)</f>
        <v>0</v>
      </c>
      <c r="K49" s="101" t="s">
        <v>129</v>
      </c>
      <c r="L49" s="100">
        <f>SUM(L50:L54)</f>
        <v>4.6240000000000006</v>
      </c>
      <c r="M49" s="102" t="s">
        <v>129</v>
      </c>
      <c r="AG49" s="71" t="s">
        <v>129</v>
      </c>
      <c r="AQ49" s="67">
        <f>SUM(AH50:AH54)</f>
        <v>0</v>
      </c>
      <c r="AR49" s="67">
        <f>SUM(AI50:AI54)</f>
        <v>0</v>
      </c>
      <c r="AS49" s="67">
        <f>SUM(AJ50:AJ54)</f>
        <v>0</v>
      </c>
    </row>
    <row r="50" spans="1:74" x14ac:dyDescent="0.25">
      <c r="A50" s="92" t="s">
        <v>214</v>
      </c>
      <c r="B50" s="69" t="s">
        <v>246</v>
      </c>
      <c r="C50" s="306" t="s">
        <v>247</v>
      </c>
      <c r="D50" s="307"/>
      <c r="E50" s="69" t="s">
        <v>177</v>
      </c>
      <c r="F50" s="77">
        <v>2.72</v>
      </c>
      <c r="G50" s="218">
        <v>0</v>
      </c>
      <c r="H50" s="77">
        <f>F50*AM50</f>
        <v>0</v>
      </c>
      <c r="I50" s="77">
        <f>F50*AN50</f>
        <v>0</v>
      </c>
      <c r="J50" s="77">
        <f>F50*G50</f>
        <v>0</v>
      </c>
      <c r="K50" s="77">
        <v>1.7</v>
      </c>
      <c r="L50" s="77">
        <f>F50*K50</f>
        <v>4.6240000000000006</v>
      </c>
      <c r="M50" s="103" t="s">
        <v>35</v>
      </c>
      <c r="X50" s="77">
        <f>IF(AO50="5",BH50,0)</f>
        <v>0</v>
      </c>
      <c r="Z50" s="77">
        <f>IF(AO50="1",BF50,0)</f>
        <v>0</v>
      </c>
      <c r="AA50" s="77">
        <f>IF(AO50="1",BG50,0)</f>
        <v>0</v>
      </c>
      <c r="AB50" s="77">
        <f>IF(AO50="7",BF50,0)</f>
        <v>0</v>
      </c>
      <c r="AC50" s="77">
        <f>IF(AO50="7",BG50,0)</f>
        <v>0</v>
      </c>
      <c r="AD50" s="77">
        <f>IF(AO50="2",BF50,0)</f>
        <v>0</v>
      </c>
      <c r="AE50" s="77">
        <f>IF(AO50="2",BG50,0)</f>
        <v>0</v>
      </c>
      <c r="AF50" s="77">
        <f>IF(AO50="0",BH50,0)</f>
        <v>0</v>
      </c>
      <c r="AG50" s="71" t="s">
        <v>129</v>
      </c>
      <c r="AH50" s="77">
        <f>IF(AL50=0,J50,0)</f>
        <v>0</v>
      </c>
      <c r="AI50" s="77">
        <f>IF(AL50=15,J50,0)</f>
        <v>0</v>
      </c>
      <c r="AJ50" s="77">
        <f>IF(AL50=21,J50,0)</f>
        <v>0</v>
      </c>
      <c r="AL50" s="77">
        <v>15</v>
      </c>
      <c r="AM50" s="77">
        <f>G50*0.512977349</f>
        <v>0</v>
      </c>
      <c r="AN50" s="77">
        <f>G50*(1-0.512977349)</f>
        <v>0</v>
      </c>
      <c r="AO50" s="79" t="s">
        <v>132</v>
      </c>
      <c r="AT50" s="77">
        <f>AU50+AV50</f>
        <v>0</v>
      </c>
      <c r="AU50" s="77">
        <f>F50*AM50</f>
        <v>0</v>
      </c>
      <c r="AV50" s="77">
        <f>F50*AN50</f>
        <v>0</v>
      </c>
      <c r="AW50" s="79" t="s">
        <v>248</v>
      </c>
      <c r="AX50" s="79" t="s">
        <v>147</v>
      </c>
      <c r="AY50" s="71" t="s">
        <v>137</v>
      </c>
      <c r="BA50" s="77">
        <f>AU50+AV50</f>
        <v>0</v>
      </c>
      <c r="BB50" s="77">
        <f>G50/(100-BC50)*100</f>
        <v>0</v>
      </c>
      <c r="BC50" s="77">
        <v>0</v>
      </c>
      <c r="BD50" s="77">
        <f>L50</f>
        <v>4.6240000000000006</v>
      </c>
      <c r="BF50" s="77">
        <f>F50*AM50</f>
        <v>0</v>
      </c>
      <c r="BG50" s="77">
        <f>F50*AN50</f>
        <v>0</v>
      </c>
      <c r="BH50" s="77">
        <f>F50*G50</f>
        <v>0</v>
      </c>
      <c r="BI50" s="77"/>
      <c r="BJ50" s="77">
        <v>17</v>
      </c>
      <c r="BU50" s="77" t="e">
        <f>#REF!</f>
        <v>#REF!</v>
      </c>
      <c r="BV50" s="70" t="s">
        <v>247</v>
      </c>
    </row>
    <row r="51" spans="1:74" ht="54" customHeight="1" x14ac:dyDescent="0.25">
      <c r="A51" s="104"/>
      <c r="B51" s="81" t="s">
        <v>138</v>
      </c>
      <c r="C51" s="303" t="s">
        <v>1003</v>
      </c>
      <c r="D51" s="304"/>
      <c r="E51" s="304"/>
      <c r="F51" s="304"/>
      <c r="G51" s="304"/>
      <c r="H51" s="304"/>
      <c r="I51" s="304"/>
      <c r="J51" s="304"/>
      <c r="K51" s="304"/>
      <c r="L51" s="304"/>
      <c r="M51" s="305"/>
    </row>
    <row r="52" spans="1:74" x14ac:dyDescent="0.25">
      <c r="A52" s="92" t="s">
        <v>219</v>
      </c>
      <c r="B52" s="69" t="s">
        <v>251</v>
      </c>
      <c r="C52" s="306" t="s">
        <v>252</v>
      </c>
      <c r="D52" s="307"/>
      <c r="E52" s="69" t="s">
        <v>177</v>
      </c>
      <c r="F52" s="77">
        <v>2.72</v>
      </c>
      <c r="G52" s="218">
        <v>0</v>
      </c>
      <c r="H52" s="77">
        <f>F52*AM52</f>
        <v>0</v>
      </c>
      <c r="I52" s="77">
        <f>F52*AN52</f>
        <v>0</v>
      </c>
      <c r="J52" s="77">
        <f>F52*G52</f>
        <v>0</v>
      </c>
      <c r="K52" s="77">
        <v>0</v>
      </c>
      <c r="L52" s="77">
        <f>F52*K52</f>
        <v>0</v>
      </c>
      <c r="M52" s="103"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15</v>
      </c>
      <c r="AM52" s="77">
        <f>G52*0</f>
        <v>0</v>
      </c>
      <c r="AN52" s="77">
        <f>G52*(1-0)</f>
        <v>0</v>
      </c>
      <c r="AO52" s="79" t="s">
        <v>132</v>
      </c>
      <c r="AT52" s="77">
        <f>AU52+AV52</f>
        <v>0</v>
      </c>
      <c r="AU52" s="77">
        <f>F52*AM52</f>
        <v>0</v>
      </c>
      <c r="AV52" s="77">
        <f>F52*AN52</f>
        <v>0</v>
      </c>
      <c r="AW52" s="79" t="s">
        <v>248</v>
      </c>
      <c r="AX52" s="79" t="s">
        <v>147</v>
      </c>
      <c r="AY52" s="71" t="s">
        <v>137</v>
      </c>
      <c r="BA52" s="77">
        <f>AU52+AV52</f>
        <v>0</v>
      </c>
      <c r="BB52" s="77">
        <f>G52/(100-BC52)*100</f>
        <v>0</v>
      </c>
      <c r="BC52" s="77">
        <v>0</v>
      </c>
      <c r="BD52" s="77">
        <f>L52</f>
        <v>0</v>
      </c>
      <c r="BF52" s="77">
        <f>F52*AM52</f>
        <v>0</v>
      </c>
      <c r="BG52" s="77">
        <f>F52*AN52</f>
        <v>0</v>
      </c>
      <c r="BH52" s="77">
        <f>F52*G52</f>
        <v>0</v>
      </c>
      <c r="BI52" s="77"/>
      <c r="BJ52" s="77">
        <v>17</v>
      </c>
      <c r="BU52" s="77" t="e">
        <f>#REF!</f>
        <v>#REF!</v>
      </c>
      <c r="BV52" s="70" t="s">
        <v>252</v>
      </c>
    </row>
    <row r="53" spans="1:74" ht="40.5" customHeight="1" x14ac:dyDescent="0.25">
      <c r="A53" s="104"/>
      <c r="B53" s="81" t="s">
        <v>138</v>
      </c>
      <c r="C53" s="303" t="s">
        <v>1004</v>
      </c>
      <c r="D53" s="304"/>
      <c r="E53" s="304"/>
      <c r="F53" s="304"/>
      <c r="G53" s="304"/>
      <c r="H53" s="304"/>
      <c r="I53" s="304"/>
      <c r="J53" s="304"/>
      <c r="K53" s="304"/>
      <c r="L53" s="304"/>
      <c r="M53" s="305"/>
    </row>
    <row r="54" spans="1:74" x14ac:dyDescent="0.25">
      <c r="A54" s="92" t="s">
        <v>224</v>
      </c>
      <c r="B54" s="69" t="s">
        <v>254</v>
      </c>
      <c r="C54" s="306" t="s">
        <v>255</v>
      </c>
      <c r="D54" s="307"/>
      <c r="E54" s="69" t="s">
        <v>177</v>
      </c>
      <c r="F54" s="77">
        <v>5.2</v>
      </c>
      <c r="G54" s="218">
        <v>0</v>
      </c>
      <c r="H54" s="77">
        <f>F54*AM54</f>
        <v>0</v>
      </c>
      <c r="I54" s="77">
        <f>F54*AN54</f>
        <v>0</v>
      </c>
      <c r="J54" s="77">
        <f>F54*G54</f>
        <v>0</v>
      </c>
      <c r="K54" s="77">
        <v>0</v>
      </c>
      <c r="L54" s="77">
        <f>F54*K54</f>
        <v>0</v>
      </c>
      <c r="M54" s="103"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f>
        <v>0</v>
      </c>
      <c r="AN54" s="77">
        <f>G54*(1-0)</f>
        <v>0</v>
      </c>
      <c r="AO54" s="79" t="s">
        <v>132</v>
      </c>
      <c r="AT54" s="77">
        <f>AU54+AV54</f>
        <v>0</v>
      </c>
      <c r="AU54" s="77">
        <f>F54*AM54</f>
        <v>0</v>
      </c>
      <c r="AV54" s="77">
        <f>F54*AN54</f>
        <v>0</v>
      </c>
      <c r="AW54" s="79" t="s">
        <v>248</v>
      </c>
      <c r="AX54" s="79" t="s">
        <v>147</v>
      </c>
      <c r="AY54" s="71" t="s">
        <v>137</v>
      </c>
      <c r="BA54" s="77">
        <f>AU54+AV54</f>
        <v>0</v>
      </c>
      <c r="BB54" s="77">
        <f>G54/(100-BC54)*100</f>
        <v>0</v>
      </c>
      <c r="BC54" s="77">
        <v>0</v>
      </c>
      <c r="BD54" s="77">
        <f>L54</f>
        <v>0</v>
      </c>
      <c r="BF54" s="77">
        <f>F54*AM54</f>
        <v>0</v>
      </c>
      <c r="BG54" s="77">
        <f>F54*AN54</f>
        <v>0</v>
      </c>
      <c r="BH54" s="77">
        <f>F54*G54</f>
        <v>0</v>
      </c>
      <c r="BI54" s="77"/>
      <c r="BJ54" s="77">
        <v>17</v>
      </c>
      <c r="BU54" s="77" t="e">
        <f>#REF!</f>
        <v>#REF!</v>
      </c>
      <c r="BV54" s="70" t="s">
        <v>255</v>
      </c>
    </row>
    <row r="55" spans="1:74" ht="94.5" customHeight="1" x14ac:dyDescent="0.25">
      <c r="A55" s="104"/>
      <c r="B55" s="81" t="s">
        <v>138</v>
      </c>
      <c r="C55" s="303" t="s">
        <v>1005</v>
      </c>
      <c r="D55" s="304"/>
      <c r="E55" s="304"/>
      <c r="F55" s="304"/>
      <c r="G55" s="304"/>
      <c r="H55" s="304"/>
      <c r="I55" s="304"/>
      <c r="J55" s="304"/>
      <c r="K55" s="304"/>
      <c r="L55" s="304"/>
      <c r="M55" s="305"/>
    </row>
    <row r="56" spans="1:74" x14ac:dyDescent="0.25">
      <c r="A56" s="105" t="s">
        <v>129</v>
      </c>
      <c r="B56" s="74" t="s">
        <v>224</v>
      </c>
      <c r="C56" s="314" t="s">
        <v>257</v>
      </c>
      <c r="D56" s="315"/>
      <c r="E56" s="75" t="s">
        <v>87</v>
      </c>
      <c r="F56" s="75" t="s">
        <v>87</v>
      </c>
      <c r="G56" s="75" t="s">
        <v>87</v>
      </c>
      <c r="H56" s="67">
        <f>SUM(H57:H57)</f>
        <v>0</v>
      </c>
      <c r="I56" s="67">
        <f>SUM(I57:I57)</f>
        <v>0</v>
      </c>
      <c r="J56" s="67">
        <f>SUM(J57:J57)</f>
        <v>0</v>
      </c>
      <c r="K56" s="71" t="s">
        <v>129</v>
      </c>
      <c r="L56" s="67">
        <f>SUM(L57:L57)</f>
        <v>0</v>
      </c>
      <c r="M56" s="106" t="s">
        <v>129</v>
      </c>
      <c r="AG56" s="71" t="s">
        <v>129</v>
      </c>
      <c r="AQ56" s="67">
        <f>SUM(AH57:AH57)</f>
        <v>0</v>
      </c>
      <c r="AR56" s="67">
        <f>SUM(AI57:AI57)</f>
        <v>0</v>
      </c>
      <c r="AS56" s="67">
        <f>SUM(AJ57:AJ57)</f>
        <v>0</v>
      </c>
    </row>
    <row r="57" spans="1:74" x14ac:dyDescent="0.25">
      <c r="A57" s="92" t="s">
        <v>228</v>
      </c>
      <c r="B57" s="69" t="s">
        <v>259</v>
      </c>
      <c r="C57" s="306" t="s">
        <v>260</v>
      </c>
      <c r="D57" s="307"/>
      <c r="E57" s="69" t="s">
        <v>177</v>
      </c>
      <c r="F57" s="77">
        <v>3.32</v>
      </c>
      <c r="G57" s="218">
        <v>0</v>
      </c>
      <c r="H57" s="77">
        <f>F57*AM57</f>
        <v>0</v>
      </c>
      <c r="I57" s="77">
        <f>F57*AN57</f>
        <v>0</v>
      </c>
      <c r="J57" s="77">
        <f>F57*G57</f>
        <v>0</v>
      </c>
      <c r="K57" s="77">
        <v>0</v>
      </c>
      <c r="L57" s="77">
        <f>F57*K57</f>
        <v>0</v>
      </c>
      <c r="M57" s="103" t="s">
        <v>35</v>
      </c>
      <c r="X57" s="77">
        <f>IF(AO57="5",BH57,0)</f>
        <v>0</v>
      </c>
      <c r="Z57" s="77">
        <f>IF(AO57="1",BF57,0)</f>
        <v>0</v>
      </c>
      <c r="AA57" s="77">
        <f>IF(AO57="1",BG57,0)</f>
        <v>0</v>
      </c>
      <c r="AB57" s="77">
        <f>IF(AO57="7",BF57,0)</f>
        <v>0</v>
      </c>
      <c r="AC57" s="77">
        <f>IF(AO57="7",BG57,0)</f>
        <v>0</v>
      </c>
      <c r="AD57" s="77">
        <f>IF(AO57="2",BF57,0)</f>
        <v>0</v>
      </c>
      <c r="AE57" s="77">
        <f>IF(AO57="2",BG57,0)</f>
        <v>0</v>
      </c>
      <c r="AF57" s="77">
        <f>IF(AO57="0",BH57,0)</f>
        <v>0</v>
      </c>
      <c r="AG57" s="71" t="s">
        <v>129</v>
      </c>
      <c r="AH57" s="77">
        <f>IF(AL57=0,J57,0)</f>
        <v>0</v>
      </c>
      <c r="AI57" s="77">
        <f>IF(AL57=15,J57,0)</f>
        <v>0</v>
      </c>
      <c r="AJ57" s="77">
        <f>IF(AL57=21,J57,0)</f>
        <v>0</v>
      </c>
      <c r="AL57" s="77">
        <v>15</v>
      </c>
      <c r="AM57" s="77">
        <f>G57*0</f>
        <v>0</v>
      </c>
      <c r="AN57" s="77">
        <f>G57*(1-0)</f>
        <v>0</v>
      </c>
      <c r="AO57" s="79" t="s">
        <v>132</v>
      </c>
      <c r="AT57" s="77">
        <f>AU57+AV57</f>
        <v>0</v>
      </c>
      <c r="AU57" s="77">
        <f>F57*AM57</f>
        <v>0</v>
      </c>
      <c r="AV57" s="77">
        <f>F57*AN57</f>
        <v>0</v>
      </c>
      <c r="AW57" s="79" t="s">
        <v>261</v>
      </c>
      <c r="AX57" s="79" t="s">
        <v>147</v>
      </c>
      <c r="AY57" s="71" t="s">
        <v>137</v>
      </c>
      <c r="BA57" s="77">
        <f>AU57+AV57</f>
        <v>0</v>
      </c>
      <c r="BB57" s="77">
        <f>G57/(100-BC57)*100</f>
        <v>0</v>
      </c>
      <c r="BC57" s="77">
        <v>0</v>
      </c>
      <c r="BD57" s="77">
        <f>L57</f>
        <v>0</v>
      </c>
      <c r="BF57" s="77">
        <f>F57*AM57</f>
        <v>0</v>
      </c>
      <c r="BG57" s="77">
        <f>F57*AN57</f>
        <v>0</v>
      </c>
      <c r="BH57" s="77">
        <f>F57*G57</f>
        <v>0</v>
      </c>
      <c r="BI57" s="77"/>
      <c r="BJ57" s="77">
        <v>19</v>
      </c>
      <c r="BU57" s="77" t="e">
        <f>#REF!</f>
        <v>#REF!</v>
      </c>
      <c r="BV57" s="70" t="s">
        <v>260</v>
      </c>
    </row>
    <row r="58" spans="1:74" ht="13.5" customHeight="1" x14ac:dyDescent="0.25">
      <c r="A58" s="104"/>
      <c r="B58" s="81" t="s">
        <v>138</v>
      </c>
      <c r="C58" s="303" t="s">
        <v>515</v>
      </c>
      <c r="D58" s="304"/>
      <c r="E58" s="304"/>
      <c r="F58" s="304"/>
      <c r="G58" s="304"/>
      <c r="H58" s="304"/>
      <c r="I58" s="304"/>
      <c r="J58" s="304"/>
      <c r="K58" s="304"/>
      <c r="L58" s="304"/>
      <c r="M58" s="305"/>
    </row>
    <row r="59" spans="1:74" x14ac:dyDescent="0.25">
      <c r="A59" s="105" t="s">
        <v>129</v>
      </c>
      <c r="B59" s="74" t="s">
        <v>232</v>
      </c>
      <c r="C59" s="314" t="s">
        <v>267</v>
      </c>
      <c r="D59" s="315"/>
      <c r="E59" s="75" t="s">
        <v>87</v>
      </c>
      <c r="F59" s="75" t="s">
        <v>87</v>
      </c>
      <c r="G59" s="75" t="s">
        <v>87</v>
      </c>
      <c r="H59" s="67">
        <f>SUM(H60:H60)</f>
        <v>0</v>
      </c>
      <c r="I59" s="67">
        <f>SUM(I60:I60)</f>
        <v>0</v>
      </c>
      <c r="J59" s="67">
        <f>SUM(J60:J60)</f>
        <v>0</v>
      </c>
      <c r="K59" s="71" t="s">
        <v>129</v>
      </c>
      <c r="L59" s="67">
        <f>SUM(L60:L60)</f>
        <v>0</v>
      </c>
      <c r="M59" s="106" t="s">
        <v>129</v>
      </c>
      <c r="AG59" s="71" t="s">
        <v>129</v>
      </c>
      <c r="AQ59" s="67">
        <f>SUM(AH60:AH60)</f>
        <v>0</v>
      </c>
      <c r="AR59" s="67">
        <f>SUM(AI60:AI60)</f>
        <v>0</v>
      </c>
      <c r="AS59" s="67">
        <f>SUM(AJ60:AJ60)</f>
        <v>0</v>
      </c>
    </row>
    <row r="60" spans="1:74" x14ac:dyDescent="0.25">
      <c r="A60" s="92" t="s">
        <v>232</v>
      </c>
      <c r="B60" s="69" t="s">
        <v>927</v>
      </c>
      <c r="C60" s="306" t="s">
        <v>270</v>
      </c>
      <c r="D60" s="307"/>
      <c r="E60" s="69" t="s">
        <v>166</v>
      </c>
      <c r="F60" s="77">
        <v>5.28</v>
      </c>
      <c r="G60" s="218">
        <v>0</v>
      </c>
      <c r="H60" s="77">
        <f>F60*AM60</f>
        <v>0</v>
      </c>
      <c r="I60" s="77">
        <f>F60*AN60</f>
        <v>0</v>
      </c>
      <c r="J60" s="77">
        <f>F60*G60</f>
        <v>0</v>
      </c>
      <c r="K60" s="77">
        <v>0</v>
      </c>
      <c r="L60" s="77">
        <f>F60*K60</f>
        <v>0</v>
      </c>
      <c r="M60" s="103" t="s">
        <v>35</v>
      </c>
      <c r="X60" s="77">
        <f>IF(AO60="5",BH60,0)</f>
        <v>0</v>
      </c>
      <c r="Z60" s="77">
        <f>IF(AO60="1",BF60,0)</f>
        <v>0</v>
      </c>
      <c r="AA60" s="77">
        <f>IF(AO60="1",BG60,0)</f>
        <v>0</v>
      </c>
      <c r="AB60" s="77">
        <f>IF(AO60="7",BF60,0)</f>
        <v>0</v>
      </c>
      <c r="AC60" s="77">
        <f>IF(AO60="7",BG60,0)</f>
        <v>0</v>
      </c>
      <c r="AD60" s="77">
        <f>IF(AO60="2",BF60,0)</f>
        <v>0</v>
      </c>
      <c r="AE60" s="77">
        <f>IF(AO60="2",BG60,0)</f>
        <v>0</v>
      </c>
      <c r="AF60" s="77">
        <f>IF(AO60="0",BH60,0)</f>
        <v>0</v>
      </c>
      <c r="AG60" s="71" t="s">
        <v>129</v>
      </c>
      <c r="AH60" s="77">
        <f>IF(AL60=0,J60,0)</f>
        <v>0</v>
      </c>
      <c r="AI60" s="77">
        <f>IF(AL60=15,J60,0)</f>
        <v>0</v>
      </c>
      <c r="AJ60" s="77">
        <f>IF(AL60=21,J60,0)</f>
        <v>0</v>
      </c>
      <c r="AL60" s="77">
        <v>15</v>
      </c>
      <c r="AM60" s="77">
        <f>G60*0</f>
        <v>0</v>
      </c>
      <c r="AN60" s="77">
        <f>G60*(1-0)</f>
        <v>0</v>
      </c>
      <c r="AO60" s="79" t="s">
        <v>132</v>
      </c>
      <c r="AT60" s="77">
        <f>AU60+AV60</f>
        <v>0</v>
      </c>
      <c r="AU60" s="77">
        <f>F60*AM60</f>
        <v>0</v>
      </c>
      <c r="AV60" s="77">
        <f>F60*AN60</f>
        <v>0</v>
      </c>
      <c r="AW60" s="79" t="s">
        <v>271</v>
      </c>
      <c r="AX60" s="79" t="s">
        <v>272</v>
      </c>
      <c r="AY60" s="71" t="s">
        <v>137</v>
      </c>
      <c r="BA60" s="77">
        <f>AU60+AV60</f>
        <v>0</v>
      </c>
      <c r="BB60" s="77">
        <f>G60/(100-BC60)*100</f>
        <v>0</v>
      </c>
      <c r="BC60" s="77">
        <v>0</v>
      </c>
      <c r="BD60" s="77">
        <f>L60</f>
        <v>0</v>
      </c>
      <c r="BF60" s="77">
        <f>F60*AM60</f>
        <v>0</v>
      </c>
      <c r="BG60" s="77">
        <f>F60*AN60</f>
        <v>0</v>
      </c>
      <c r="BH60" s="77">
        <f>F60*G60</f>
        <v>0</v>
      </c>
      <c r="BI60" s="77"/>
      <c r="BJ60" s="77">
        <v>21</v>
      </c>
      <c r="BU60" s="77" t="e">
        <f>#REF!</f>
        <v>#REF!</v>
      </c>
      <c r="BV60" s="70" t="s">
        <v>270</v>
      </c>
    </row>
    <row r="61" spans="1:74" ht="40.5" customHeight="1" x14ac:dyDescent="0.25">
      <c r="A61" s="104"/>
      <c r="B61" s="81" t="s">
        <v>138</v>
      </c>
      <c r="C61" s="303" t="s">
        <v>1006</v>
      </c>
      <c r="D61" s="304"/>
      <c r="E61" s="304"/>
      <c r="F61" s="304"/>
      <c r="G61" s="304"/>
      <c r="H61" s="304"/>
      <c r="I61" s="304"/>
      <c r="J61" s="304"/>
      <c r="K61" s="304"/>
      <c r="L61" s="304"/>
      <c r="M61" s="305"/>
    </row>
    <row r="62" spans="1:74" x14ac:dyDescent="0.25">
      <c r="A62" s="105" t="s">
        <v>129</v>
      </c>
      <c r="B62" s="74" t="s">
        <v>288</v>
      </c>
      <c r="C62" s="314" t="s">
        <v>289</v>
      </c>
      <c r="D62" s="315"/>
      <c r="E62" s="75" t="s">
        <v>87</v>
      </c>
      <c r="F62" s="75" t="s">
        <v>87</v>
      </c>
      <c r="G62" s="75" t="s">
        <v>87</v>
      </c>
      <c r="H62" s="67">
        <f>SUM(H63:H63)</f>
        <v>0</v>
      </c>
      <c r="I62" s="67">
        <f>SUM(I63:I63)</f>
        <v>0</v>
      </c>
      <c r="J62" s="67">
        <f>SUM(J63:J63)</f>
        <v>0</v>
      </c>
      <c r="K62" s="71" t="s">
        <v>129</v>
      </c>
      <c r="L62" s="67">
        <f>SUM(L63:L63)</f>
        <v>1.4937083000000002</v>
      </c>
      <c r="M62" s="106" t="s">
        <v>129</v>
      </c>
      <c r="AG62" s="71" t="s">
        <v>129</v>
      </c>
      <c r="AQ62" s="67">
        <f>SUM(AH63:AH63)</f>
        <v>0</v>
      </c>
      <c r="AR62" s="67">
        <f>SUM(AI63:AI63)</f>
        <v>0</v>
      </c>
      <c r="AS62" s="67">
        <f>SUM(AJ63:AJ63)</f>
        <v>0</v>
      </c>
    </row>
    <row r="63" spans="1:74" x14ac:dyDescent="0.25">
      <c r="A63" s="92" t="s">
        <v>236</v>
      </c>
      <c r="B63" s="69" t="s">
        <v>291</v>
      </c>
      <c r="C63" s="306" t="s">
        <v>524</v>
      </c>
      <c r="D63" s="307"/>
      <c r="E63" s="69" t="s">
        <v>177</v>
      </c>
      <c r="F63" s="77">
        <v>0.79</v>
      </c>
      <c r="G63" s="218">
        <v>0</v>
      </c>
      <c r="H63" s="77">
        <f>F63*AM63</f>
        <v>0</v>
      </c>
      <c r="I63" s="77">
        <f>F63*AN63</f>
        <v>0</v>
      </c>
      <c r="J63" s="77">
        <f>F63*G63</f>
        <v>0</v>
      </c>
      <c r="K63" s="77">
        <v>1.8907700000000001</v>
      </c>
      <c r="L63" s="77">
        <f>F63*K63</f>
        <v>1.4937083000000002</v>
      </c>
      <c r="M63" s="103" t="s">
        <v>35</v>
      </c>
      <c r="X63" s="77">
        <f>IF(AO63="5",BH63,0)</f>
        <v>0</v>
      </c>
      <c r="Z63" s="77">
        <f>IF(AO63="1",BF63,0)</f>
        <v>0</v>
      </c>
      <c r="AA63" s="77">
        <f>IF(AO63="1",BG63,0)</f>
        <v>0</v>
      </c>
      <c r="AB63" s="77">
        <f>IF(AO63="7",BF63,0)</f>
        <v>0</v>
      </c>
      <c r="AC63" s="77">
        <f>IF(AO63="7",BG63,0)</f>
        <v>0</v>
      </c>
      <c r="AD63" s="77">
        <f>IF(AO63="2",BF63,0)</f>
        <v>0</v>
      </c>
      <c r="AE63" s="77">
        <f>IF(AO63="2",BG63,0)</f>
        <v>0</v>
      </c>
      <c r="AF63" s="77">
        <f>IF(AO63="0",BH63,0)</f>
        <v>0</v>
      </c>
      <c r="AG63" s="71" t="s">
        <v>129</v>
      </c>
      <c r="AH63" s="77">
        <f>IF(AL63=0,J63,0)</f>
        <v>0</v>
      </c>
      <c r="AI63" s="77">
        <f>IF(AL63=15,J63,0)</f>
        <v>0</v>
      </c>
      <c r="AJ63" s="77">
        <f>IF(AL63=21,J63,0)</f>
        <v>0</v>
      </c>
      <c r="AL63" s="77">
        <v>15</v>
      </c>
      <c r="AM63" s="77">
        <f>G63*0.487561495</f>
        <v>0</v>
      </c>
      <c r="AN63" s="77">
        <f>G63*(1-0.487561495)</f>
        <v>0</v>
      </c>
      <c r="AO63" s="79" t="s">
        <v>132</v>
      </c>
      <c r="AT63" s="77">
        <f>AU63+AV63</f>
        <v>0</v>
      </c>
      <c r="AU63" s="77">
        <f>F63*AM63</f>
        <v>0</v>
      </c>
      <c r="AV63" s="77">
        <f>F63*AN63</f>
        <v>0</v>
      </c>
      <c r="AW63" s="79" t="s">
        <v>293</v>
      </c>
      <c r="AX63" s="79" t="s">
        <v>294</v>
      </c>
      <c r="AY63" s="71" t="s">
        <v>137</v>
      </c>
      <c r="BA63" s="77">
        <f>AU63+AV63</f>
        <v>0</v>
      </c>
      <c r="BB63" s="77">
        <f>G63/(100-BC63)*100</f>
        <v>0</v>
      </c>
      <c r="BC63" s="77">
        <v>0</v>
      </c>
      <c r="BD63" s="77">
        <f>L63</f>
        <v>1.4937083000000002</v>
      </c>
      <c r="BF63" s="77">
        <f>F63*AM63</f>
        <v>0</v>
      </c>
      <c r="BG63" s="77">
        <f>F63*AN63</f>
        <v>0</v>
      </c>
      <c r="BH63" s="77">
        <f>F63*G63</f>
        <v>0</v>
      </c>
      <c r="BI63" s="77"/>
      <c r="BJ63" s="77">
        <v>45</v>
      </c>
      <c r="BU63" s="77" t="e">
        <f>#REF!</f>
        <v>#REF!</v>
      </c>
      <c r="BV63" s="70" t="s">
        <v>524</v>
      </c>
    </row>
    <row r="64" spans="1:74" ht="67.5" customHeight="1" x14ac:dyDescent="0.25">
      <c r="A64" s="104"/>
      <c r="B64" s="81" t="s">
        <v>138</v>
      </c>
      <c r="C64" s="303" t="s">
        <v>1007</v>
      </c>
      <c r="D64" s="304"/>
      <c r="E64" s="304"/>
      <c r="F64" s="304"/>
      <c r="G64" s="304"/>
      <c r="H64" s="304"/>
      <c r="I64" s="304"/>
      <c r="J64" s="304"/>
      <c r="K64" s="304"/>
      <c r="L64" s="304"/>
      <c r="M64" s="305"/>
    </row>
    <row r="65" spans="1:74" x14ac:dyDescent="0.25">
      <c r="A65" s="105" t="s">
        <v>129</v>
      </c>
      <c r="B65" s="74" t="s">
        <v>296</v>
      </c>
      <c r="C65" s="314" t="s">
        <v>297</v>
      </c>
      <c r="D65" s="315"/>
      <c r="E65" s="75" t="s">
        <v>87</v>
      </c>
      <c r="F65" s="75" t="s">
        <v>87</v>
      </c>
      <c r="G65" s="75" t="s">
        <v>87</v>
      </c>
      <c r="H65" s="67">
        <f>SUM(H66:H72)</f>
        <v>0</v>
      </c>
      <c r="I65" s="67">
        <f>SUM(I66:I72)</f>
        <v>0</v>
      </c>
      <c r="J65" s="67">
        <f>SUM(J66:J72)</f>
        <v>0</v>
      </c>
      <c r="K65" s="71" t="s">
        <v>129</v>
      </c>
      <c r="L65" s="67">
        <f>SUM(L66:L72)</f>
        <v>9.7693904000000007</v>
      </c>
      <c r="M65" s="106" t="s">
        <v>129</v>
      </c>
      <c r="AG65" s="71" t="s">
        <v>129</v>
      </c>
      <c r="AQ65" s="67">
        <f>SUM(AH66:AH72)</f>
        <v>0</v>
      </c>
      <c r="AR65" s="67">
        <f>SUM(AI66:AI72)</f>
        <v>0</v>
      </c>
      <c r="AS65" s="67">
        <f>SUM(AJ66:AJ72)</f>
        <v>0</v>
      </c>
    </row>
    <row r="66" spans="1:74" x14ac:dyDescent="0.25">
      <c r="A66" s="92" t="s">
        <v>240</v>
      </c>
      <c r="B66" s="69" t="s">
        <v>299</v>
      </c>
      <c r="C66" s="306" t="s">
        <v>300</v>
      </c>
      <c r="D66" s="307"/>
      <c r="E66" s="69" t="s">
        <v>166</v>
      </c>
      <c r="F66" s="77">
        <v>5.26</v>
      </c>
      <c r="G66" s="218">
        <v>0</v>
      </c>
      <c r="H66" s="77">
        <f>F66*AM66</f>
        <v>0</v>
      </c>
      <c r="I66" s="77">
        <f>F66*AN66</f>
        <v>0</v>
      </c>
      <c r="J66" s="77">
        <f>F66*G66</f>
        <v>0</v>
      </c>
      <c r="K66" s="77">
        <v>0.46</v>
      </c>
      <c r="L66" s="77">
        <f>F66*K66</f>
        <v>2.4196</v>
      </c>
      <c r="M66" s="103" t="s">
        <v>35</v>
      </c>
      <c r="X66" s="77">
        <f>IF(AO66="5",BH66,0)</f>
        <v>0</v>
      </c>
      <c r="Z66" s="77">
        <f>IF(AO66="1",BF66,0)</f>
        <v>0</v>
      </c>
      <c r="AA66" s="77">
        <f>IF(AO66="1",BG66,0)</f>
        <v>0</v>
      </c>
      <c r="AB66" s="77">
        <f>IF(AO66="7",BF66,0)</f>
        <v>0</v>
      </c>
      <c r="AC66" s="77">
        <f>IF(AO66="7",BG66,0)</f>
        <v>0</v>
      </c>
      <c r="AD66" s="77">
        <f>IF(AO66="2",BF66,0)</f>
        <v>0</v>
      </c>
      <c r="AE66" s="77">
        <f>IF(AO66="2",BG66,0)</f>
        <v>0</v>
      </c>
      <c r="AF66" s="77">
        <f>IF(AO66="0",BH66,0)</f>
        <v>0</v>
      </c>
      <c r="AG66" s="71" t="s">
        <v>129</v>
      </c>
      <c r="AH66" s="77">
        <f>IF(AL66=0,J66,0)</f>
        <v>0</v>
      </c>
      <c r="AI66" s="77">
        <f>IF(AL66=15,J66,0)</f>
        <v>0</v>
      </c>
      <c r="AJ66" s="77">
        <f>IF(AL66=21,J66,0)</f>
        <v>0</v>
      </c>
      <c r="AL66" s="77">
        <v>15</v>
      </c>
      <c r="AM66" s="77">
        <f>G66*0.854811853</f>
        <v>0</v>
      </c>
      <c r="AN66" s="77">
        <f>G66*(1-0.854811853)</f>
        <v>0</v>
      </c>
      <c r="AO66" s="79" t="s">
        <v>132</v>
      </c>
      <c r="AT66" s="77">
        <f>AU66+AV66</f>
        <v>0</v>
      </c>
      <c r="AU66" s="77">
        <f>F66*AM66</f>
        <v>0</v>
      </c>
      <c r="AV66" s="77">
        <f>F66*AN66</f>
        <v>0</v>
      </c>
      <c r="AW66" s="79" t="s">
        <v>301</v>
      </c>
      <c r="AX66" s="79" t="s">
        <v>302</v>
      </c>
      <c r="AY66" s="71" t="s">
        <v>137</v>
      </c>
      <c r="BA66" s="77">
        <f>AU66+AV66</f>
        <v>0</v>
      </c>
      <c r="BB66" s="77">
        <f>G66/(100-BC66)*100</f>
        <v>0</v>
      </c>
      <c r="BC66" s="77">
        <v>0</v>
      </c>
      <c r="BD66" s="77">
        <f>L66</f>
        <v>2.4196</v>
      </c>
      <c r="BF66" s="77">
        <f>F66*AM66</f>
        <v>0</v>
      </c>
      <c r="BG66" s="77">
        <f>F66*AN66</f>
        <v>0</v>
      </c>
      <c r="BH66" s="77">
        <f>F66*G66</f>
        <v>0</v>
      </c>
      <c r="BI66" s="77"/>
      <c r="BJ66" s="77">
        <v>56</v>
      </c>
      <c r="BU66" s="77" t="e">
        <f>#REF!</f>
        <v>#REF!</v>
      </c>
      <c r="BV66" s="70" t="s">
        <v>300</v>
      </c>
    </row>
    <row r="67" spans="1:74" ht="40.5" customHeight="1" x14ac:dyDescent="0.25">
      <c r="A67" s="104"/>
      <c r="B67" s="81" t="s">
        <v>138</v>
      </c>
      <c r="C67" s="303" t="s">
        <v>979</v>
      </c>
      <c r="D67" s="304"/>
      <c r="E67" s="304"/>
      <c r="F67" s="304"/>
      <c r="G67" s="304"/>
      <c r="H67" s="304"/>
      <c r="I67" s="304"/>
      <c r="J67" s="304"/>
      <c r="K67" s="304"/>
      <c r="L67" s="304"/>
      <c r="M67" s="305"/>
    </row>
    <row r="68" spans="1:74" x14ac:dyDescent="0.25">
      <c r="A68" s="92" t="s">
        <v>245</v>
      </c>
      <c r="B68" s="69" t="s">
        <v>305</v>
      </c>
      <c r="C68" s="306" t="s">
        <v>306</v>
      </c>
      <c r="D68" s="307"/>
      <c r="E68" s="69" t="s">
        <v>166</v>
      </c>
      <c r="F68" s="77">
        <v>5.48</v>
      </c>
      <c r="G68" s="218">
        <v>0</v>
      </c>
      <c r="H68" s="77">
        <f>F68*AM68</f>
        <v>0</v>
      </c>
      <c r="I68" s="77">
        <f>F68*AN68</f>
        <v>0</v>
      </c>
      <c r="J68" s="77">
        <f>F68*G68</f>
        <v>0</v>
      </c>
      <c r="K68" s="77">
        <v>0.48574000000000001</v>
      </c>
      <c r="L68" s="77">
        <f>F68*K68</f>
        <v>2.6618552000000002</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G68*0.813430365</f>
        <v>0</v>
      </c>
      <c r="AN68" s="77">
        <f>G68*(1-0.813430365)</f>
        <v>0</v>
      </c>
      <c r="AO68" s="79" t="s">
        <v>132</v>
      </c>
      <c r="AT68" s="77">
        <f>AU68+AV68</f>
        <v>0</v>
      </c>
      <c r="AU68" s="77">
        <f>F68*AM68</f>
        <v>0</v>
      </c>
      <c r="AV68" s="77">
        <f>F68*AN68</f>
        <v>0</v>
      </c>
      <c r="AW68" s="79" t="s">
        <v>301</v>
      </c>
      <c r="AX68" s="79" t="s">
        <v>302</v>
      </c>
      <c r="AY68" s="71" t="s">
        <v>137</v>
      </c>
      <c r="BA68" s="77">
        <f>AU68+AV68</f>
        <v>0</v>
      </c>
      <c r="BB68" s="77">
        <f>G68/(100-BC68)*100</f>
        <v>0</v>
      </c>
      <c r="BC68" s="77">
        <v>0</v>
      </c>
      <c r="BD68" s="77">
        <f>L68</f>
        <v>2.6618552000000002</v>
      </c>
      <c r="BF68" s="77">
        <f>F68*AM68</f>
        <v>0</v>
      </c>
      <c r="BG68" s="77">
        <f>F68*AN68</f>
        <v>0</v>
      </c>
      <c r="BH68" s="77">
        <f>F68*G68</f>
        <v>0</v>
      </c>
      <c r="BI68" s="77"/>
      <c r="BJ68" s="77">
        <v>56</v>
      </c>
      <c r="BU68" s="77" t="e">
        <f>#REF!</f>
        <v>#REF!</v>
      </c>
      <c r="BV68" s="70" t="s">
        <v>306</v>
      </c>
    </row>
    <row r="69" spans="1:74" ht="40.5" customHeight="1" x14ac:dyDescent="0.25">
      <c r="A69" s="104"/>
      <c r="B69" s="81" t="s">
        <v>138</v>
      </c>
      <c r="C69" s="303" t="s">
        <v>980</v>
      </c>
      <c r="D69" s="304"/>
      <c r="E69" s="304"/>
      <c r="F69" s="304"/>
      <c r="G69" s="304"/>
      <c r="H69" s="304"/>
      <c r="I69" s="304"/>
      <c r="J69" s="304"/>
      <c r="K69" s="304"/>
      <c r="L69" s="304"/>
      <c r="M69" s="305"/>
    </row>
    <row r="70" spans="1:74" x14ac:dyDescent="0.25">
      <c r="A70" s="92" t="s">
        <v>250</v>
      </c>
      <c r="B70" s="69" t="s">
        <v>305</v>
      </c>
      <c r="C70" s="306" t="s">
        <v>306</v>
      </c>
      <c r="D70" s="307"/>
      <c r="E70" s="69" t="s">
        <v>166</v>
      </c>
      <c r="F70" s="77">
        <v>5.48</v>
      </c>
      <c r="G70" s="218">
        <v>0</v>
      </c>
      <c r="H70" s="77">
        <f>F70*AM70</f>
        <v>0</v>
      </c>
      <c r="I70" s="77">
        <f>F70*AN70</f>
        <v>0</v>
      </c>
      <c r="J70" s="77">
        <f>F70*G70</f>
        <v>0</v>
      </c>
      <c r="K70" s="77">
        <v>0.48574000000000001</v>
      </c>
      <c r="L70" s="77">
        <f>F70*K70</f>
        <v>2.6618552000000002</v>
      </c>
      <c r="M70" s="103" t="s">
        <v>35</v>
      </c>
      <c r="X70" s="77">
        <f>IF(AO70="5",BH70,0)</f>
        <v>0</v>
      </c>
      <c r="Z70" s="77">
        <f>IF(AO70="1",BF70,0)</f>
        <v>0</v>
      </c>
      <c r="AA70" s="77">
        <f>IF(AO70="1",BG70,0)</f>
        <v>0</v>
      </c>
      <c r="AB70" s="77">
        <f>IF(AO70="7",BF70,0)</f>
        <v>0</v>
      </c>
      <c r="AC70" s="77">
        <f>IF(AO70="7",BG70,0)</f>
        <v>0</v>
      </c>
      <c r="AD70" s="77">
        <f>IF(AO70="2",BF70,0)</f>
        <v>0</v>
      </c>
      <c r="AE70" s="77">
        <f>IF(AO70="2",BG70,0)</f>
        <v>0</v>
      </c>
      <c r="AF70" s="77">
        <f>IF(AO70="0",BH70,0)</f>
        <v>0</v>
      </c>
      <c r="AG70" s="71" t="s">
        <v>129</v>
      </c>
      <c r="AH70" s="77">
        <f>IF(AL70=0,J70,0)</f>
        <v>0</v>
      </c>
      <c r="AI70" s="77">
        <f>IF(AL70=15,J70,0)</f>
        <v>0</v>
      </c>
      <c r="AJ70" s="77">
        <f>IF(AL70=21,J70,0)</f>
        <v>0</v>
      </c>
      <c r="AL70" s="77">
        <v>15</v>
      </c>
      <c r="AM70" s="77">
        <f>G70*0.813430365</f>
        <v>0</v>
      </c>
      <c r="AN70" s="77">
        <f>G70*(1-0.813430365)</f>
        <v>0</v>
      </c>
      <c r="AO70" s="79" t="s">
        <v>132</v>
      </c>
      <c r="AT70" s="77">
        <f>AU70+AV70</f>
        <v>0</v>
      </c>
      <c r="AU70" s="77">
        <f>F70*AM70</f>
        <v>0</v>
      </c>
      <c r="AV70" s="77">
        <f>F70*AN70</f>
        <v>0</v>
      </c>
      <c r="AW70" s="79" t="s">
        <v>301</v>
      </c>
      <c r="AX70" s="79" t="s">
        <v>302</v>
      </c>
      <c r="AY70" s="71" t="s">
        <v>137</v>
      </c>
      <c r="BA70" s="77">
        <f>AU70+AV70</f>
        <v>0</v>
      </c>
      <c r="BB70" s="77">
        <f>G70/(100-BC70)*100</f>
        <v>0</v>
      </c>
      <c r="BC70" s="77">
        <v>0</v>
      </c>
      <c r="BD70" s="77">
        <f>L70</f>
        <v>2.6618552000000002</v>
      </c>
      <c r="BF70" s="77">
        <f>F70*AM70</f>
        <v>0</v>
      </c>
      <c r="BG70" s="77">
        <f>F70*AN70</f>
        <v>0</v>
      </c>
      <c r="BH70" s="77">
        <f>F70*G70</f>
        <v>0</v>
      </c>
      <c r="BI70" s="77"/>
      <c r="BJ70" s="77">
        <v>56</v>
      </c>
      <c r="BU70" s="77" t="e">
        <f>#REF!</f>
        <v>#REF!</v>
      </c>
      <c r="BV70" s="70" t="s">
        <v>306</v>
      </c>
    </row>
    <row r="71" spans="1:74" ht="40.5" customHeight="1" x14ac:dyDescent="0.25">
      <c r="A71" s="104"/>
      <c r="B71" s="81" t="s">
        <v>138</v>
      </c>
      <c r="C71" s="303" t="s">
        <v>980</v>
      </c>
      <c r="D71" s="304"/>
      <c r="E71" s="304"/>
      <c r="F71" s="304"/>
      <c r="G71" s="304"/>
      <c r="H71" s="304"/>
      <c r="I71" s="304"/>
      <c r="J71" s="304"/>
      <c r="K71" s="304"/>
      <c r="L71" s="304"/>
      <c r="M71" s="305"/>
    </row>
    <row r="72" spans="1:74" x14ac:dyDescent="0.25">
      <c r="A72" s="92" t="s">
        <v>253</v>
      </c>
      <c r="B72" s="69" t="s">
        <v>311</v>
      </c>
      <c r="C72" s="306" t="s">
        <v>312</v>
      </c>
      <c r="D72" s="307"/>
      <c r="E72" s="69" t="s">
        <v>166</v>
      </c>
      <c r="F72" s="77">
        <v>5.36</v>
      </c>
      <c r="G72" s="218">
        <v>0</v>
      </c>
      <c r="H72" s="77">
        <f>F72*AM72</f>
        <v>0</v>
      </c>
      <c r="I72" s="77">
        <f>F72*AN72</f>
        <v>0</v>
      </c>
      <c r="J72" s="77">
        <f>F72*G72</f>
        <v>0</v>
      </c>
      <c r="K72" s="77">
        <v>0.378</v>
      </c>
      <c r="L72" s="77">
        <f>F72*K72</f>
        <v>2.0260800000000003</v>
      </c>
      <c r="M72" s="103" t="s">
        <v>35</v>
      </c>
      <c r="X72" s="77">
        <f>IF(AO72="5",BH72,0)</f>
        <v>0</v>
      </c>
      <c r="Z72" s="77">
        <f>IF(AO72="1",BF72,0)</f>
        <v>0</v>
      </c>
      <c r="AA72" s="77">
        <f>IF(AO72="1",BG72,0)</f>
        <v>0</v>
      </c>
      <c r="AB72" s="77">
        <f>IF(AO72="7",BF72,0)</f>
        <v>0</v>
      </c>
      <c r="AC72" s="77">
        <f>IF(AO72="7",BG72,0)</f>
        <v>0</v>
      </c>
      <c r="AD72" s="77">
        <f>IF(AO72="2",BF72,0)</f>
        <v>0</v>
      </c>
      <c r="AE72" s="77">
        <f>IF(AO72="2",BG72,0)</f>
        <v>0</v>
      </c>
      <c r="AF72" s="77">
        <f>IF(AO72="0",BH72,0)</f>
        <v>0</v>
      </c>
      <c r="AG72" s="71" t="s">
        <v>129</v>
      </c>
      <c r="AH72" s="77">
        <f>IF(AL72=0,J72,0)</f>
        <v>0</v>
      </c>
      <c r="AI72" s="77">
        <f>IF(AL72=15,J72,0)</f>
        <v>0</v>
      </c>
      <c r="AJ72" s="77">
        <f>IF(AL72=21,J72,0)</f>
        <v>0</v>
      </c>
      <c r="AL72" s="77">
        <v>15</v>
      </c>
      <c r="AM72" s="77">
        <f>G72*0.826850946</f>
        <v>0</v>
      </c>
      <c r="AN72" s="77">
        <f>G72*(1-0.826850946)</f>
        <v>0</v>
      </c>
      <c r="AO72" s="79" t="s">
        <v>132</v>
      </c>
      <c r="AT72" s="77">
        <f>AU72+AV72</f>
        <v>0</v>
      </c>
      <c r="AU72" s="77">
        <f>F72*AM72</f>
        <v>0</v>
      </c>
      <c r="AV72" s="77">
        <f>F72*AN72</f>
        <v>0</v>
      </c>
      <c r="AW72" s="79" t="s">
        <v>301</v>
      </c>
      <c r="AX72" s="79" t="s">
        <v>302</v>
      </c>
      <c r="AY72" s="71" t="s">
        <v>137</v>
      </c>
      <c r="BA72" s="77">
        <f>AU72+AV72</f>
        <v>0</v>
      </c>
      <c r="BB72" s="77">
        <f>G72/(100-BC72)*100</f>
        <v>0</v>
      </c>
      <c r="BC72" s="77">
        <v>0</v>
      </c>
      <c r="BD72" s="77">
        <f>L72</f>
        <v>2.0260800000000003</v>
      </c>
      <c r="BF72" s="77">
        <f>F72*AM72</f>
        <v>0</v>
      </c>
      <c r="BG72" s="77">
        <f>F72*AN72</f>
        <v>0</v>
      </c>
      <c r="BH72" s="77">
        <f>F72*G72</f>
        <v>0</v>
      </c>
      <c r="BI72" s="77"/>
      <c r="BJ72" s="77">
        <v>56</v>
      </c>
      <c r="BU72" s="77" t="e">
        <f>#REF!</f>
        <v>#REF!</v>
      </c>
      <c r="BV72" s="70" t="s">
        <v>312</v>
      </c>
    </row>
    <row r="73" spans="1:74" ht="40.5" customHeight="1" thickBot="1" x14ac:dyDescent="0.3">
      <c r="A73" s="107"/>
      <c r="B73" s="108" t="s">
        <v>138</v>
      </c>
      <c r="C73" s="308" t="s">
        <v>981</v>
      </c>
      <c r="D73" s="309"/>
      <c r="E73" s="309"/>
      <c r="F73" s="309"/>
      <c r="G73" s="309"/>
      <c r="H73" s="309"/>
      <c r="I73" s="309"/>
      <c r="J73" s="309"/>
      <c r="K73" s="309"/>
      <c r="L73" s="309"/>
      <c r="M73" s="310"/>
    </row>
    <row r="74" spans="1:74" x14ac:dyDescent="0.25">
      <c r="A74" s="97" t="s">
        <v>129</v>
      </c>
      <c r="B74" s="98" t="s">
        <v>651</v>
      </c>
      <c r="C74" s="318" t="s">
        <v>935</v>
      </c>
      <c r="D74" s="319"/>
      <c r="E74" s="99" t="s">
        <v>87</v>
      </c>
      <c r="F74" s="99" t="s">
        <v>87</v>
      </c>
      <c r="G74" s="99" t="s">
        <v>87</v>
      </c>
      <c r="H74" s="100">
        <f>SUM(H75:H75)</f>
        <v>0</v>
      </c>
      <c r="I74" s="100">
        <f>SUM(I75:I75)</f>
        <v>0</v>
      </c>
      <c r="J74" s="100">
        <f>SUM(J75:J75)</f>
        <v>0</v>
      </c>
      <c r="K74" s="101" t="s">
        <v>129</v>
      </c>
      <c r="L74" s="100">
        <f>SUM(L75:L75)</f>
        <v>2.5935000000000001</v>
      </c>
      <c r="M74" s="102" t="s">
        <v>129</v>
      </c>
      <c r="AG74" s="71" t="s">
        <v>129</v>
      </c>
      <c r="AQ74" s="67">
        <f>SUM(AH75:AH75)</f>
        <v>0</v>
      </c>
      <c r="AR74" s="67">
        <f>SUM(AI75:AI75)</f>
        <v>0</v>
      </c>
      <c r="AS74" s="67">
        <f>SUM(AJ75:AJ75)</f>
        <v>0</v>
      </c>
    </row>
    <row r="75" spans="1:74" x14ac:dyDescent="0.25">
      <c r="A75" s="92" t="s">
        <v>258</v>
      </c>
      <c r="B75" s="69" t="s">
        <v>936</v>
      </c>
      <c r="C75" s="306" t="s">
        <v>937</v>
      </c>
      <c r="D75" s="307"/>
      <c r="E75" s="69" t="s">
        <v>145</v>
      </c>
      <c r="F75" s="77">
        <v>5</v>
      </c>
      <c r="G75" s="218">
        <v>0</v>
      </c>
      <c r="H75" s="77">
        <f>F75*AM75</f>
        <v>0</v>
      </c>
      <c r="I75" s="77">
        <f>F75*AN75</f>
        <v>0</v>
      </c>
      <c r="J75" s="77">
        <f>F75*G75</f>
        <v>0</v>
      </c>
      <c r="K75" s="77">
        <v>0.51870000000000005</v>
      </c>
      <c r="L75" s="77">
        <f>F75*K75</f>
        <v>2.5935000000000001</v>
      </c>
      <c r="M75" s="103" t="s">
        <v>35</v>
      </c>
      <c r="X75" s="77">
        <f>IF(AO75="5",BH75,0)</f>
        <v>0</v>
      </c>
      <c r="Z75" s="77">
        <f>IF(AO75="1",BF75,0)</f>
        <v>0</v>
      </c>
      <c r="AA75" s="77">
        <f>IF(AO75="1",BG75,0)</f>
        <v>0</v>
      </c>
      <c r="AB75" s="77">
        <f>IF(AO75="7",BF75,0)</f>
        <v>0</v>
      </c>
      <c r="AC75" s="77">
        <f>IF(AO75="7",BG75,0)</f>
        <v>0</v>
      </c>
      <c r="AD75" s="77">
        <f>IF(AO75="2",BF75,0)</f>
        <v>0</v>
      </c>
      <c r="AE75" s="77">
        <f>IF(AO75="2",BG75,0)</f>
        <v>0</v>
      </c>
      <c r="AF75" s="77">
        <f>IF(AO75="0",BH75,0)</f>
        <v>0</v>
      </c>
      <c r="AG75" s="71" t="s">
        <v>129</v>
      </c>
      <c r="AH75" s="77">
        <f>IF(AL75=0,J75,0)</f>
        <v>0</v>
      </c>
      <c r="AI75" s="77">
        <f>IF(AL75=15,J75,0)</f>
        <v>0</v>
      </c>
      <c r="AJ75" s="77">
        <f>IF(AL75=21,J75,0)</f>
        <v>0</v>
      </c>
      <c r="AL75" s="77">
        <v>15</v>
      </c>
      <c r="AM75" s="77">
        <f>G75*0.329920859</f>
        <v>0</v>
      </c>
      <c r="AN75" s="77">
        <f>G75*(1-0.329920859)</f>
        <v>0</v>
      </c>
      <c r="AO75" s="79" t="s">
        <v>132</v>
      </c>
      <c r="AT75" s="77">
        <f>AU75+AV75</f>
        <v>0</v>
      </c>
      <c r="AU75" s="77">
        <f>F75*AM75</f>
        <v>0</v>
      </c>
      <c r="AV75" s="77">
        <f>F75*AN75</f>
        <v>0</v>
      </c>
      <c r="AW75" s="79" t="s">
        <v>938</v>
      </c>
      <c r="AX75" s="79" t="s">
        <v>320</v>
      </c>
      <c r="AY75" s="71" t="s">
        <v>137</v>
      </c>
      <c r="BA75" s="77">
        <f>AU75+AV75</f>
        <v>0</v>
      </c>
      <c r="BB75" s="77">
        <f>G75/(100-BC75)*100</f>
        <v>0</v>
      </c>
      <c r="BC75" s="77">
        <v>0</v>
      </c>
      <c r="BD75" s="77">
        <f>L75</f>
        <v>2.5935000000000001</v>
      </c>
      <c r="BF75" s="77">
        <f>F75*AM75</f>
        <v>0</v>
      </c>
      <c r="BG75" s="77">
        <f>F75*AN75</f>
        <v>0</v>
      </c>
      <c r="BH75" s="77">
        <f>F75*G75</f>
        <v>0</v>
      </c>
      <c r="BI75" s="77"/>
      <c r="BJ75" s="77">
        <v>83</v>
      </c>
      <c r="BU75" s="77" t="e">
        <f>#REF!</f>
        <v>#REF!</v>
      </c>
      <c r="BV75" s="70" t="s">
        <v>937</v>
      </c>
    </row>
    <row r="76" spans="1:74" ht="121.5" customHeight="1" x14ac:dyDescent="0.25">
      <c r="A76" s="104"/>
      <c r="B76" s="81" t="s">
        <v>138</v>
      </c>
      <c r="C76" s="303" t="s">
        <v>1008</v>
      </c>
      <c r="D76" s="304"/>
      <c r="E76" s="304"/>
      <c r="F76" s="304"/>
      <c r="G76" s="304"/>
      <c r="H76" s="304"/>
      <c r="I76" s="304"/>
      <c r="J76" s="304"/>
      <c r="K76" s="304"/>
      <c r="L76" s="304"/>
      <c r="M76" s="305"/>
    </row>
    <row r="77" spans="1:74" x14ac:dyDescent="0.25">
      <c r="A77" s="105" t="s">
        <v>129</v>
      </c>
      <c r="B77" s="74" t="s">
        <v>378</v>
      </c>
      <c r="C77" s="314" t="s">
        <v>379</v>
      </c>
      <c r="D77" s="315"/>
      <c r="E77" s="75" t="s">
        <v>87</v>
      </c>
      <c r="F77" s="75" t="s">
        <v>87</v>
      </c>
      <c r="G77" s="75" t="s">
        <v>87</v>
      </c>
      <c r="H77" s="67">
        <f>SUM(H78:H78)</f>
        <v>0</v>
      </c>
      <c r="I77" s="67">
        <f>SUM(I78:I78)</f>
        <v>0</v>
      </c>
      <c r="J77" s="67">
        <f>SUM(J78:J78)</f>
        <v>0</v>
      </c>
      <c r="K77" s="71" t="s">
        <v>129</v>
      </c>
      <c r="L77" s="67">
        <f>SUM(L78:L78)</f>
        <v>0</v>
      </c>
      <c r="M77" s="106" t="s">
        <v>129</v>
      </c>
      <c r="AG77" s="71" t="s">
        <v>129</v>
      </c>
      <c r="AQ77" s="67">
        <f>SUM(AH78:AH78)</f>
        <v>0</v>
      </c>
      <c r="AR77" s="67">
        <f>SUM(AI78:AI78)</f>
        <v>0</v>
      </c>
      <c r="AS77" s="67">
        <f>SUM(AJ78:AJ78)</f>
        <v>0</v>
      </c>
    </row>
    <row r="78" spans="1:74" x14ac:dyDescent="0.25">
      <c r="A78" s="92" t="s">
        <v>263</v>
      </c>
      <c r="B78" s="69" t="s">
        <v>381</v>
      </c>
      <c r="C78" s="306" t="s">
        <v>382</v>
      </c>
      <c r="D78" s="307"/>
      <c r="E78" s="69" t="s">
        <v>281</v>
      </c>
      <c r="F78" s="77">
        <v>3.79</v>
      </c>
      <c r="G78" s="218">
        <v>0</v>
      </c>
      <c r="H78" s="77">
        <f>F78*AM78</f>
        <v>0</v>
      </c>
      <c r="I78" s="77">
        <f>F78*AN78</f>
        <v>0</v>
      </c>
      <c r="J78" s="77">
        <f>F78*G78</f>
        <v>0</v>
      </c>
      <c r="K78" s="77">
        <v>0</v>
      </c>
      <c r="L78" s="77">
        <f>F78*K78</f>
        <v>0</v>
      </c>
      <c r="M78" s="103" t="s">
        <v>35</v>
      </c>
      <c r="X78" s="77">
        <f>IF(AO78="5",BH78,0)</f>
        <v>0</v>
      </c>
      <c r="Z78" s="77">
        <f>IF(AO78="1",BF78,0)</f>
        <v>0</v>
      </c>
      <c r="AA78" s="77">
        <f>IF(AO78="1",BG78,0)</f>
        <v>0</v>
      </c>
      <c r="AB78" s="77">
        <f>IF(AO78="7",BF78,0)</f>
        <v>0</v>
      </c>
      <c r="AC78" s="77">
        <f>IF(AO78="7",BG78,0)</f>
        <v>0</v>
      </c>
      <c r="AD78" s="77">
        <f>IF(AO78="2",BF78,0)</f>
        <v>0</v>
      </c>
      <c r="AE78" s="77">
        <f>IF(AO78="2",BG78,0)</f>
        <v>0</v>
      </c>
      <c r="AF78" s="77">
        <f>IF(AO78="0",BH78,0)</f>
        <v>0</v>
      </c>
      <c r="AG78" s="71" t="s">
        <v>129</v>
      </c>
      <c r="AH78" s="77">
        <f>IF(AL78=0,J78,0)</f>
        <v>0</v>
      </c>
      <c r="AI78" s="77">
        <f>IF(AL78=15,J78,0)</f>
        <v>0</v>
      </c>
      <c r="AJ78" s="77">
        <f>IF(AL78=21,J78,0)</f>
        <v>0</v>
      </c>
      <c r="AL78" s="77">
        <v>15</v>
      </c>
      <c r="AM78" s="77">
        <f>G78*0</f>
        <v>0</v>
      </c>
      <c r="AN78" s="77">
        <f>G78*(1-0)</f>
        <v>0</v>
      </c>
      <c r="AO78" s="79" t="s">
        <v>132</v>
      </c>
      <c r="AT78" s="77">
        <f>AU78+AV78</f>
        <v>0</v>
      </c>
      <c r="AU78" s="77">
        <f>F78*AM78</f>
        <v>0</v>
      </c>
      <c r="AV78" s="77">
        <f>F78*AN78</f>
        <v>0</v>
      </c>
      <c r="AW78" s="79" t="s">
        <v>383</v>
      </c>
      <c r="AX78" s="79" t="s">
        <v>384</v>
      </c>
      <c r="AY78" s="71" t="s">
        <v>137</v>
      </c>
      <c r="BA78" s="77">
        <f>AU78+AV78</f>
        <v>0</v>
      </c>
      <c r="BB78" s="77">
        <f>G78/(100-BC78)*100</f>
        <v>0</v>
      </c>
      <c r="BC78" s="77">
        <v>0</v>
      </c>
      <c r="BD78" s="77">
        <f>L78</f>
        <v>0</v>
      </c>
      <c r="BF78" s="77">
        <f>F78*AM78</f>
        <v>0</v>
      </c>
      <c r="BG78" s="77">
        <f>F78*AN78</f>
        <v>0</v>
      </c>
      <c r="BH78" s="77">
        <f>F78*G78</f>
        <v>0</v>
      </c>
      <c r="BI78" s="77"/>
      <c r="BJ78" s="77">
        <v>97</v>
      </c>
      <c r="BU78" s="77" t="e">
        <f>#REF!</f>
        <v>#REF!</v>
      </c>
      <c r="BV78" s="70" t="s">
        <v>382</v>
      </c>
    </row>
    <row r="79" spans="1:74" ht="27" customHeight="1" x14ac:dyDescent="0.25">
      <c r="A79" s="104"/>
      <c r="B79" s="81" t="s">
        <v>138</v>
      </c>
      <c r="C79" s="303" t="s">
        <v>983</v>
      </c>
      <c r="D79" s="304"/>
      <c r="E79" s="304"/>
      <c r="F79" s="304"/>
      <c r="G79" s="304"/>
      <c r="H79" s="304"/>
      <c r="I79" s="304"/>
      <c r="J79" s="304"/>
      <c r="K79" s="304"/>
      <c r="L79" s="304"/>
      <c r="M79" s="305"/>
    </row>
    <row r="80" spans="1:74" x14ac:dyDescent="0.25">
      <c r="A80" s="105" t="s">
        <v>129</v>
      </c>
      <c r="B80" s="74" t="s">
        <v>386</v>
      </c>
      <c r="C80" s="314" t="s">
        <v>387</v>
      </c>
      <c r="D80" s="315"/>
      <c r="E80" s="75" t="s">
        <v>87</v>
      </c>
      <c r="F80" s="75" t="s">
        <v>87</v>
      </c>
      <c r="G80" s="75" t="s">
        <v>87</v>
      </c>
      <c r="H80" s="67">
        <f>SUM(H81:H84)</f>
        <v>0</v>
      </c>
      <c r="I80" s="67">
        <f>SUM(I81:I84)</f>
        <v>0</v>
      </c>
      <c r="J80" s="67">
        <f>SUM(J81:J84)</f>
        <v>0</v>
      </c>
      <c r="K80" s="71" t="s">
        <v>129</v>
      </c>
      <c r="L80" s="67">
        <f>SUM(L81:L84)</f>
        <v>0</v>
      </c>
      <c r="M80" s="106" t="s">
        <v>129</v>
      </c>
      <c r="AG80" s="71" t="s">
        <v>129</v>
      </c>
      <c r="AQ80" s="67">
        <f>SUM(AH81:AH84)</f>
        <v>0</v>
      </c>
      <c r="AR80" s="67">
        <f>SUM(AI81:AI84)</f>
        <v>0</v>
      </c>
      <c r="AS80" s="67">
        <f>SUM(AJ81:AJ84)</f>
        <v>0</v>
      </c>
    </row>
    <row r="81" spans="1:74" x14ac:dyDescent="0.25">
      <c r="A81" s="92" t="s">
        <v>268</v>
      </c>
      <c r="B81" s="69" t="s">
        <v>389</v>
      </c>
      <c r="C81" s="306" t="s">
        <v>390</v>
      </c>
      <c r="D81" s="307"/>
      <c r="E81" s="69" t="s">
        <v>281</v>
      </c>
      <c r="F81" s="77">
        <v>6.83</v>
      </c>
      <c r="G81" s="218">
        <v>0</v>
      </c>
      <c r="H81" s="77">
        <f>F81*AM81</f>
        <v>0</v>
      </c>
      <c r="I81" s="77">
        <f>F81*AN81</f>
        <v>0</v>
      </c>
      <c r="J81" s="77">
        <f>F81*G81</f>
        <v>0</v>
      </c>
      <c r="K81" s="77">
        <v>0</v>
      </c>
      <c r="L81" s="77">
        <f>F81*K81</f>
        <v>0</v>
      </c>
      <c r="M81" s="103" t="s">
        <v>35</v>
      </c>
      <c r="X81" s="77">
        <f>IF(AO81="5",BH81,0)</f>
        <v>0</v>
      </c>
      <c r="Z81" s="77">
        <f>IF(AO81="1",BF81,0)</f>
        <v>0</v>
      </c>
      <c r="AA81" s="77">
        <f>IF(AO81="1",BG81,0)</f>
        <v>0</v>
      </c>
      <c r="AB81" s="77">
        <f>IF(AO81="7",BF81,0)</f>
        <v>0</v>
      </c>
      <c r="AC81" s="77">
        <f>IF(AO81="7",BG81,0)</f>
        <v>0</v>
      </c>
      <c r="AD81" s="77">
        <f>IF(AO81="2",BF81,0)</f>
        <v>0</v>
      </c>
      <c r="AE81" s="77">
        <f>IF(AO81="2",BG81,0)</f>
        <v>0</v>
      </c>
      <c r="AF81" s="77">
        <f>IF(AO81="0",BH81,0)</f>
        <v>0</v>
      </c>
      <c r="AG81" s="71" t="s">
        <v>129</v>
      </c>
      <c r="AH81" s="77">
        <f>IF(AL81=0,J81,0)</f>
        <v>0</v>
      </c>
      <c r="AI81" s="77">
        <f>IF(AL81=15,J81,0)</f>
        <v>0</v>
      </c>
      <c r="AJ81" s="77">
        <f>IF(AL81=21,J81,0)</f>
        <v>0</v>
      </c>
      <c r="AL81" s="77">
        <v>15</v>
      </c>
      <c r="AM81" s="77">
        <f>G81*0</f>
        <v>0</v>
      </c>
      <c r="AN81" s="77">
        <f>G81*(1-0)</f>
        <v>0</v>
      </c>
      <c r="AO81" s="79" t="s">
        <v>158</v>
      </c>
      <c r="AT81" s="77">
        <f>AU81+AV81</f>
        <v>0</v>
      </c>
      <c r="AU81" s="77">
        <f>F81*AM81</f>
        <v>0</v>
      </c>
      <c r="AV81" s="77">
        <f>F81*AN81</f>
        <v>0</v>
      </c>
      <c r="AW81" s="79" t="s">
        <v>391</v>
      </c>
      <c r="AX81" s="79" t="s">
        <v>384</v>
      </c>
      <c r="AY81" s="71" t="s">
        <v>137</v>
      </c>
      <c r="BA81" s="77">
        <f>AU81+AV81</f>
        <v>0</v>
      </c>
      <c r="BB81" s="77">
        <f>G81/(100-BC81)*100</f>
        <v>0</v>
      </c>
      <c r="BC81" s="77">
        <v>0</v>
      </c>
      <c r="BD81" s="77">
        <f>L81</f>
        <v>0</v>
      </c>
      <c r="BF81" s="77">
        <f>F81*AM81</f>
        <v>0</v>
      </c>
      <c r="BG81" s="77">
        <f>F81*AN81</f>
        <v>0</v>
      </c>
      <c r="BH81" s="77">
        <f>F81*G81</f>
        <v>0</v>
      </c>
      <c r="BI81" s="77"/>
      <c r="BJ81" s="77"/>
      <c r="BU81" s="77" t="e">
        <f>#REF!</f>
        <v>#REF!</v>
      </c>
      <c r="BV81" s="70" t="s">
        <v>390</v>
      </c>
    </row>
    <row r="82" spans="1:74" x14ac:dyDescent="0.25">
      <c r="A82" s="92" t="s">
        <v>274</v>
      </c>
      <c r="B82" s="69" t="s">
        <v>393</v>
      </c>
      <c r="C82" s="306" t="s">
        <v>394</v>
      </c>
      <c r="D82" s="307"/>
      <c r="E82" s="69" t="s">
        <v>281</v>
      </c>
      <c r="F82" s="77">
        <v>25.61</v>
      </c>
      <c r="G82" s="218">
        <v>0</v>
      </c>
      <c r="H82" s="77">
        <f>F82*AM82</f>
        <v>0</v>
      </c>
      <c r="I82" s="77">
        <f>F82*AN82</f>
        <v>0</v>
      </c>
      <c r="J82" s="77">
        <f>F82*G82</f>
        <v>0</v>
      </c>
      <c r="K82" s="77">
        <v>0</v>
      </c>
      <c r="L82" s="77">
        <f>F82*K82</f>
        <v>0</v>
      </c>
      <c r="M82" s="103" t="s">
        <v>35</v>
      </c>
      <c r="X82" s="77">
        <f>IF(AO82="5",BH82,0)</f>
        <v>0</v>
      </c>
      <c r="Z82" s="77">
        <f>IF(AO82="1",BF82,0)</f>
        <v>0</v>
      </c>
      <c r="AA82" s="77">
        <f>IF(AO82="1",BG82,0)</f>
        <v>0</v>
      </c>
      <c r="AB82" s="77">
        <f>IF(AO82="7",BF82,0)</f>
        <v>0</v>
      </c>
      <c r="AC82" s="77">
        <f>IF(AO82="7",BG82,0)</f>
        <v>0</v>
      </c>
      <c r="AD82" s="77">
        <f>IF(AO82="2",BF82,0)</f>
        <v>0</v>
      </c>
      <c r="AE82" s="77">
        <f>IF(AO82="2",BG82,0)</f>
        <v>0</v>
      </c>
      <c r="AF82" s="77">
        <f>IF(AO82="0",BH82,0)</f>
        <v>0</v>
      </c>
      <c r="AG82" s="71" t="s">
        <v>129</v>
      </c>
      <c r="AH82" s="77">
        <f>IF(AL82=0,J82,0)</f>
        <v>0</v>
      </c>
      <c r="AI82" s="77">
        <f>IF(AL82=15,J82,0)</f>
        <v>0</v>
      </c>
      <c r="AJ82" s="77">
        <f>IF(AL82=21,J82,0)</f>
        <v>0</v>
      </c>
      <c r="AL82" s="77">
        <v>15</v>
      </c>
      <c r="AM82" s="77">
        <f>G82*0</f>
        <v>0</v>
      </c>
      <c r="AN82" s="77">
        <f>G82*(1-0)</f>
        <v>0</v>
      </c>
      <c r="AO82" s="79" t="s">
        <v>158</v>
      </c>
      <c r="AT82" s="77">
        <f>AU82+AV82</f>
        <v>0</v>
      </c>
      <c r="AU82" s="77">
        <f>F82*AM82</f>
        <v>0</v>
      </c>
      <c r="AV82" s="77">
        <f>F82*AN82</f>
        <v>0</v>
      </c>
      <c r="AW82" s="79" t="s">
        <v>391</v>
      </c>
      <c r="AX82" s="79" t="s">
        <v>384</v>
      </c>
      <c r="AY82" s="71" t="s">
        <v>137</v>
      </c>
      <c r="BA82" s="77">
        <f>AU82+AV82</f>
        <v>0</v>
      </c>
      <c r="BB82" s="77">
        <f>G82/(100-BC82)*100</f>
        <v>0</v>
      </c>
      <c r="BC82" s="77">
        <v>0</v>
      </c>
      <c r="BD82" s="77">
        <f>L82</f>
        <v>0</v>
      </c>
      <c r="BF82" s="77">
        <f>F82*AM82</f>
        <v>0</v>
      </c>
      <c r="BG82" s="77">
        <f>F82*AN82</f>
        <v>0</v>
      </c>
      <c r="BH82" s="77">
        <f>F82*G82</f>
        <v>0</v>
      </c>
      <c r="BI82" s="77"/>
      <c r="BJ82" s="77"/>
      <c r="BU82" s="77" t="e">
        <f>#REF!</f>
        <v>#REF!</v>
      </c>
      <c r="BV82" s="70" t="s">
        <v>394</v>
      </c>
    </row>
    <row r="83" spans="1:74" ht="40.5" customHeight="1" x14ac:dyDescent="0.25">
      <c r="A83" s="104"/>
      <c r="B83" s="81" t="s">
        <v>138</v>
      </c>
      <c r="C83" s="303" t="s">
        <v>1009</v>
      </c>
      <c r="D83" s="304"/>
      <c r="E83" s="304"/>
      <c r="F83" s="304"/>
      <c r="G83" s="304"/>
      <c r="H83" s="304"/>
      <c r="I83" s="304"/>
      <c r="J83" s="304"/>
      <c r="K83" s="304"/>
      <c r="L83" s="304"/>
      <c r="M83" s="305"/>
    </row>
    <row r="84" spans="1:74" x14ac:dyDescent="0.25">
      <c r="A84" s="92" t="s">
        <v>278</v>
      </c>
      <c r="B84" s="69" t="s">
        <v>798</v>
      </c>
      <c r="C84" s="306" t="s">
        <v>799</v>
      </c>
      <c r="D84" s="307"/>
      <c r="E84" s="69" t="s">
        <v>281</v>
      </c>
      <c r="F84" s="77">
        <v>8.5399999999999991</v>
      </c>
      <c r="G84" s="218">
        <v>0</v>
      </c>
      <c r="H84" s="77">
        <f>F84*AM84</f>
        <v>0</v>
      </c>
      <c r="I84" s="77">
        <f>F84*AN84</f>
        <v>0</v>
      </c>
      <c r="J84" s="77">
        <f>F84*G84</f>
        <v>0</v>
      </c>
      <c r="K84" s="77">
        <v>0</v>
      </c>
      <c r="L84" s="77">
        <f>F84*K84</f>
        <v>0</v>
      </c>
      <c r="M84" s="103" t="s">
        <v>35</v>
      </c>
      <c r="X84" s="77">
        <f>IF(AO84="5",BH84,0)</f>
        <v>0</v>
      </c>
      <c r="Z84" s="77">
        <f>IF(AO84="1",BF84,0)</f>
        <v>0</v>
      </c>
      <c r="AA84" s="77">
        <f>IF(AO84="1",BG84,0)</f>
        <v>0</v>
      </c>
      <c r="AB84" s="77">
        <f>IF(AO84="7",BF84,0)</f>
        <v>0</v>
      </c>
      <c r="AC84" s="77">
        <f>IF(AO84="7",BG84,0)</f>
        <v>0</v>
      </c>
      <c r="AD84" s="77">
        <f>IF(AO84="2",BF84,0)</f>
        <v>0</v>
      </c>
      <c r="AE84" s="77">
        <f>IF(AO84="2",BG84,0)</f>
        <v>0</v>
      </c>
      <c r="AF84" s="77">
        <f>IF(AO84="0",BH84,0)</f>
        <v>0</v>
      </c>
      <c r="AG84" s="71" t="s">
        <v>129</v>
      </c>
      <c r="AH84" s="77">
        <f>IF(AL84=0,J84,0)</f>
        <v>0</v>
      </c>
      <c r="AI84" s="77">
        <f>IF(AL84=15,J84,0)</f>
        <v>0</v>
      </c>
      <c r="AJ84" s="77">
        <f>IF(AL84=21,J84,0)</f>
        <v>0</v>
      </c>
      <c r="AL84" s="77">
        <v>15</v>
      </c>
      <c r="AM84" s="77">
        <f>G84*0</f>
        <v>0</v>
      </c>
      <c r="AN84" s="77">
        <f>G84*(1-0)</f>
        <v>0</v>
      </c>
      <c r="AO84" s="79" t="s">
        <v>158</v>
      </c>
      <c r="AT84" s="77">
        <f>AU84+AV84</f>
        <v>0</v>
      </c>
      <c r="AU84" s="77">
        <f>F84*AM84</f>
        <v>0</v>
      </c>
      <c r="AV84" s="77">
        <f>F84*AN84</f>
        <v>0</v>
      </c>
      <c r="AW84" s="79" t="s">
        <v>391</v>
      </c>
      <c r="AX84" s="79" t="s">
        <v>384</v>
      </c>
      <c r="AY84" s="71" t="s">
        <v>137</v>
      </c>
      <c r="BA84" s="77">
        <f>AU84+AV84</f>
        <v>0</v>
      </c>
      <c r="BB84" s="77">
        <f>G84/(100-BC84)*100</f>
        <v>0</v>
      </c>
      <c r="BC84" s="77">
        <v>0</v>
      </c>
      <c r="BD84" s="77">
        <f>L84</f>
        <v>0</v>
      </c>
      <c r="BF84" s="77">
        <f>F84*AM84</f>
        <v>0</v>
      </c>
      <c r="BG84" s="77">
        <f>F84*AN84</f>
        <v>0</v>
      </c>
      <c r="BH84" s="77">
        <f>F84*G84</f>
        <v>0</v>
      </c>
      <c r="BI84" s="77"/>
      <c r="BJ84" s="77"/>
      <c r="BU84" s="77" t="e">
        <f>#REF!</f>
        <v>#REF!</v>
      </c>
      <c r="BV84" s="70" t="s">
        <v>799</v>
      </c>
    </row>
    <row r="85" spans="1:74" ht="40.5" customHeight="1" x14ac:dyDescent="0.25">
      <c r="A85" s="104"/>
      <c r="B85" s="81" t="s">
        <v>138</v>
      </c>
      <c r="C85" s="303" t="s">
        <v>1010</v>
      </c>
      <c r="D85" s="304"/>
      <c r="E85" s="304"/>
      <c r="F85" s="304"/>
      <c r="G85" s="304"/>
      <c r="H85" s="304"/>
      <c r="I85" s="304"/>
      <c r="J85" s="304"/>
      <c r="K85" s="304"/>
      <c r="L85" s="304"/>
      <c r="M85" s="305"/>
    </row>
    <row r="86" spans="1:74" x14ac:dyDescent="0.25">
      <c r="A86" s="105" t="s">
        <v>129</v>
      </c>
      <c r="B86" s="74" t="s">
        <v>401</v>
      </c>
      <c r="C86" s="314" t="s">
        <v>402</v>
      </c>
      <c r="D86" s="315"/>
      <c r="E86" s="75" t="s">
        <v>87</v>
      </c>
      <c r="F86" s="75" t="s">
        <v>87</v>
      </c>
      <c r="G86" s="75" t="s">
        <v>87</v>
      </c>
      <c r="H86" s="67">
        <f>SUM(H87:H88)</f>
        <v>0</v>
      </c>
      <c r="I86" s="67">
        <f>SUM(I87:I88)</f>
        <v>0</v>
      </c>
      <c r="J86" s="67">
        <f>SUM(J87:J88)</f>
        <v>0</v>
      </c>
      <c r="K86" s="71" t="s">
        <v>129</v>
      </c>
      <c r="L86" s="67">
        <f>SUM(L87:L88)</f>
        <v>0</v>
      </c>
      <c r="M86" s="106" t="s">
        <v>129</v>
      </c>
      <c r="AG86" s="71" t="s">
        <v>129</v>
      </c>
      <c r="AQ86" s="67">
        <f>SUM(AH87:AH88)</f>
        <v>0</v>
      </c>
      <c r="AR86" s="67">
        <f>SUM(AI87:AI88)</f>
        <v>0</v>
      </c>
      <c r="AS86" s="67">
        <f>SUM(AJ87:AJ88)</f>
        <v>0</v>
      </c>
    </row>
    <row r="87" spans="1:74" x14ac:dyDescent="0.25">
      <c r="A87" s="92" t="s">
        <v>283</v>
      </c>
      <c r="B87" s="69" t="s">
        <v>404</v>
      </c>
      <c r="C87" s="306" t="s">
        <v>405</v>
      </c>
      <c r="D87" s="307"/>
      <c r="E87" s="69" t="s">
        <v>281</v>
      </c>
      <c r="F87" s="77">
        <v>2.6</v>
      </c>
      <c r="G87" s="218">
        <v>0</v>
      </c>
      <c r="H87" s="77">
        <f>F87*AM87</f>
        <v>0</v>
      </c>
      <c r="I87" s="77">
        <f>F87*AN87</f>
        <v>0</v>
      </c>
      <c r="J87" s="77">
        <f>F87*G87</f>
        <v>0</v>
      </c>
      <c r="K87" s="77">
        <v>0</v>
      </c>
      <c r="L87" s="77">
        <f>F87*K87</f>
        <v>0</v>
      </c>
      <c r="M87" s="103" t="s">
        <v>35</v>
      </c>
      <c r="X87" s="77">
        <f>IF(AO87="5",BH87,0)</f>
        <v>0</v>
      </c>
      <c r="Z87" s="77">
        <f>IF(AO87="1",BF87,0)</f>
        <v>0</v>
      </c>
      <c r="AA87" s="77">
        <f>IF(AO87="1",BG87,0)</f>
        <v>0</v>
      </c>
      <c r="AB87" s="77">
        <f>IF(AO87="7",BF87,0)</f>
        <v>0</v>
      </c>
      <c r="AC87" s="77">
        <f>IF(AO87="7",BG87,0)</f>
        <v>0</v>
      </c>
      <c r="AD87" s="77">
        <f>IF(AO87="2",BF87,0)</f>
        <v>0</v>
      </c>
      <c r="AE87" s="77">
        <f>IF(AO87="2",BG87,0)</f>
        <v>0</v>
      </c>
      <c r="AF87" s="77">
        <f>IF(AO87="0",BH87,0)</f>
        <v>0</v>
      </c>
      <c r="AG87" s="71" t="s">
        <v>129</v>
      </c>
      <c r="AH87" s="77">
        <f>IF(AL87=0,J87,0)</f>
        <v>0</v>
      </c>
      <c r="AI87" s="77">
        <f>IF(AL87=15,J87,0)</f>
        <v>0</v>
      </c>
      <c r="AJ87" s="77">
        <f>IF(AL87=21,J87,0)</f>
        <v>0</v>
      </c>
      <c r="AL87" s="77">
        <v>15</v>
      </c>
      <c r="AM87" s="77">
        <f>G87*0</f>
        <v>0</v>
      </c>
      <c r="AN87" s="77">
        <f>G87*(1-0)</f>
        <v>0</v>
      </c>
      <c r="AO87" s="79" t="s">
        <v>158</v>
      </c>
      <c r="AT87" s="77">
        <f>AU87+AV87</f>
        <v>0</v>
      </c>
      <c r="AU87" s="77">
        <f>F87*AM87</f>
        <v>0</v>
      </c>
      <c r="AV87" s="77">
        <f>F87*AN87</f>
        <v>0</v>
      </c>
      <c r="AW87" s="79" t="s">
        <v>406</v>
      </c>
      <c r="AX87" s="79" t="s">
        <v>384</v>
      </c>
      <c r="AY87" s="71" t="s">
        <v>137</v>
      </c>
      <c r="BA87" s="77">
        <f>AU87+AV87</f>
        <v>0</v>
      </c>
      <c r="BB87" s="77">
        <f>G87/(100-BC87)*100</f>
        <v>0</v>
      </c>
      <c r="BC87" s="77">
        <v>0</v>
      </c>
      <c r="BD87" s="77">
        <f>L87</f>
        <v>0</v>
      </c>
      <c r="BF87" s="77">
        <f>F87*AM87</f>
        <v>0</v>
      </c>
      <c r="BG87" s="77">
        <f>F87*AN87</f>
        <v>0</v>
      </c>
      <c r="BH87" s="77">
        <f>F87*G87</f>
        <v>0</v>
      </c>
      <c r="BI87" s="77"/>
      <c r="BJ87" s="77"/>
      <c r="BU87" s="77" t="e">
        <f>#REF!</f>
        <v>#REF!</v>
      </c>
      <c r="BV87" s="70" t="s">
        <v>405</v>
      </c>
    </row>
    <row r="88" spans="1:74" ht="15.75" thickBot="1" x14ac:dyDescent="0.3">
      <c r="A88" s="93" t="s">
        <v>290</v>
      </c>
      <c r="B88" s="94" t="s">
        <v>408</v>
      </c>
      <c r="C88" s="316" t="s">
        <v>409</v>
      </c>
      <c r="D88" s="317"/>
      <c r="E88" s="94" t="s">
        <v>281</v>
      </c>
      <c r="F88" s="125">
        <v>6.12</v>
      </c>
      <c r="G88" s="220">
        <v>0</v>
      </c>
      <c r="H88" s="125">
        <f>F88*AM88</f>
        <v>0</v>
      </c>
      <c r="I88" s="125">
        <f>F88*AN88</f>
        <v>0</v>
      </c>
      <c r="J88" s="125">
        <f>F88*G88</f>
        <v>0</v>
      </c>
      <c r="K88" s="125">
        <v>0</v>
      </c>
      <c r="L88" s="125">
        <f>F88*K88</f>
        <v>0</v>
      </c>
      <c r="M88" s="126" t="s">
        <v>35</v>
      </c>
      <c r="X88" s="77">
        <f>IF(AO88="5",BH88,0)</f>
        <v>0</v>
      </c>
      <c r="Z88" s="77">
        <f>IF(AO88="1",BF88,0)</f>
        <v>0</v>
      </c>
      <c r="AA88" s="77">
        <f>IF(AO88="1",BG88,0)</f>
        <v>0</v>
      </c>
      <c r="AB88" s="77">
        <f>IF(AO88="7",BF88,0)</f>
        <v>0</v>
      </c>
      <c r="AC88" s="77">
        <f>IF(AO88="7",BG88,0)</f>
        <v>0</v>
      </c>
      <c r="AD88" s="77">
        <f>IF(AO88="2",BF88,0)</f>
        <v>0</v>
      </c>
      <c r="AE88" s="77">
        <f>IF(AO88="2",BG88,0)</f>
        <v>0</v>
      </c>
      <c r="AF88" s="77">
        <f>IF(AO88="0",BH88,0)</f>
        <v>0</v>
      </c>
      <c r="AG88" s="71" t="s">
        <v>129</v>
      </c>
      <c r="AH88" s="77">
        <f>IF(AL88=0,J88,0)</f>
        <v>0</v>
      </c>
      <c r="AI88" s="77">
        <f>IF(AL88=15,J88,0)</f>
        <v>0</v>
      </c>
      <c r="AJ88" s="77">
        <f>IF(AL88=21,J88,0)</f>
        <v>0</v>
      </c>
      <c r="AL88" s="77">
        <v>15</v>
      </c>
      <c r="AM88" s="77">
        <f>G88*0</f>
        <v>0</v>
      </c>
      <c r="AN88" s="77">
        <f>G88*(1-0)</f>
        <v>0</v>
      </c>
      <c r="AO88" s="79" t="s">
        <v>158</v>
      </c>
      <c r="AT88" s="77">
        <f>AU88+AV88</f>
        <v>0</v>
      </c>
      <c r="AU88" s="77">
        <f>F88*AM88</f>
        <v>0</v>
      </c>
      <c r="AV88" s="77">
        <f>F88*AN88</f>
        <v>0</v>
      </c>
      <c r="AW88" s="79" t="s">
        <v>406</v>
      </c>
      <c r="AX88" s="79" t="s">
        <v>384</v>
      </c>
      <c r="AY88" s="71" t="s">
        <v>137</v>
      </c>
      <c r="BA88" s="77">
        <f>AU88+AV88</f>
        <v>0</v>
      </c>
      <c r="BB88" s="77">
        <f>G88/(100-BC88)*100</f>
        <v>0</v>
      </c>
      <c r="BC88" s="77">
        <v>0</v>
      </c>
      <c r="BD88" s="77">
        <f>L88</f>
        <v>0</v>
      </c>
      <c r="BF88" s="77">
        <f>F88*AM88</f>
        <v>0</v>
      </c>
      <c r="BG88" s="77">
        <f>F88*AN88</f>
        <v>0</v>
      </c>
      <c r="BH88" s="77">
        <f>F88*G88</f>
        <v>0</v>
      </c>
      <c r="BI88" s="77"/>
      <c r="BJ88" s="77"/>
      <c r="BU88" s="77" t="e">
        <f>#REF!</f>
        <v>#REF!</v>
      </c>
      <c r="BV88" s="70" t="s">
        <v>409</v>
      </c>
    </row>
    <row r="89" spans="1:74" x14ac:dyDescent="0.25">
      <c r="H89" s="311" t="s">
        <v>475</v>
      </c>
      <c r="I89" s="311"/>
      <c r="J89" s="84">
        <f>ROUND(J12+J23+J26+J35+J40+J49+J56+J59+J62+J65+J74+J77+J80+J86,1)</f>
        <v>0</v>
      </c>
    </row>
    <row r="90" spans="1:74" x14ac:dyDescent="0.25">
      <c r="A90" s="85" t="s">
        <v>138</v>
      </c>
    </row>
    <row r="91" spans="1:74" ht="27" customHeight="1" x14ac:dyDescent="0.25">
      <c r="A91" s="306" t="s">
        <v>953</v>
      </c>
      <c r="B91" s="307"/>
      <c r="C91" s="307"/>
      <c r="D91" s="307"/>
      <c r="E91" s="307"/>
      <c r="F91" s="307"/>
      <c r="G91" s="307"/>
      <c r="H91" s="307"/>
      <c r="I91" s="307"/>
      <c r="J91" s="307"/>
      <c r="K91" s="307"/>
      <c r="L91" s="307"/>
      <c r="M91" s="307"/>
    </row>
  </sheetData>
  <sheetProtection algorithmName="SHA-512" hashValue="QGH3q03EKcQ6aX4j3m+XYiu355+nTE2AUzprDACWvIwBvR9a3RoI3S+E5IJXn8o88QRH23eLAp9I30aIc4ABDg==" saltValue="q9UPZ1pFM/EeZrzl1TZJBQ==" spinCount="100000" sheet="1" formatCells="0" formatColumns="0" formatRows="0" insertColumns="0" insertRows="0" insertHyperlinks="0"/>
  <mergeCells count="108">
    <mergeCell ref="H89:I89"/>
    <mergeCell ref="A91:M91"/>
    <mergeCell ref="C83:M83"/>
    <mergeCell ref="C84:D84"/>
    <mergeCell ref="C85:M85"/>
    <mergeCell ref="C86:D86"/>
    <mergeCell ref="C87:D87"/>
    <mergeCell ref="C88:D88"/>
    <mergeCell ref="C77:D77"/>
    <mergeCell ref="C78:D78"/>
    <mergeCell ref="C79:M79"/>
    <mergeCell ref="C80:D80"/>
    <mergeCell ref="C81:D81"/>
    <mergeCell ref="C82:D82"/>
    <mergeCell ref="C71:M71"/>
    <mergeCell ref="C72:D72"/>
    <mergeCell ref="C73:M73"/>
    <mergeCell ref="C74:D74"/>
    <mergeCell ref="C75:D75"/>
    <mergeCell ref="C76:M76"/>
    <mergeCell ref="C65:D65"/>
    <mergeCell ref="C66:D66"/>
    <mergeCell ref="C67:M67"/>
    <mergeCell ref="C68:D68"/>
    <mergeCell ref="C69:M69"/>
    <mergeCell ref="C70:D70"/>
    <mergeCell ref="C59:D59"/>
    <mergeCell ref="C60:D60"/>
    <mergeCell ref="C61:M61"/>
    <mergeCell ref="C62:D62"/>
    <mergeCell ref="C63:D63"/>
    <mergeCell ref="C64:M64"/>
    <mergeCell ref="C53:M53"/>
    <mergeCell ref="C54:D54"/>
    <mergeCell ref="C55:M55"/>
    <mergeCell ref="C56:D56"/>
    <mergeCell ref="C57:D57"/>
    <mergeCell ref="C58:M58"/>
    <mergeCell ref="C47:D47"/>
    <mergeCell ref="C48:M48"/>
    <mergeCell ref="C49:D49"/>
    <mergeCell ref="C50:D50"/>
    <mergeCell ref="C51:M51"/>
    <mergeCell ref="C52:D52"/>
    <mergeCell ref="C41:D41"/>
    <mergeCell ref="C42:M42"/>
    <mergeCell ref="C43:D43"/>
    <mergeCell ref="C44:M44"/>
    <mergeCell ref="C45:D45"/>
    <mergeCell ref="C46:M46"/>
    <mergeCell ref="C35:D35"/>
    <mergeCell ref="C36:D36"/>
    <mergeCell ref="C37:M37"/>
    <mergeCell ref="C38:D38"/>
    <mergeCell ref="C39:M39"/>
    <mergeCell ref="C40:D40"/>
    <mergeCell ref="C29:D29"/>
    <mergeCell ref="C30:M30"/>
    <mergeCell ref="C31:D31"/>
    <mergeCell ref="C32:M32"/>
    <mergeCell ref="C33:D33"/>
    <mergeCell ref="C34:M34"/>
    <mergeCell ref="C23:D23"/>
    <mergeCell ref="C24:D24"/>
    <mergeCell ref="C25:M25"/>
    <mergeCell ref="C26:D26"/>
    <mergeCell ref="C27:D27"/>
    <mergeCell ref="C28:M28"/>
    <mergeCell ref="C17:D17"/>
    <mergeCell ref="C18:M18"/>
    <mergeCell ref="C19:D19"/>
    <mergeCell ref="C20:M20"/>
    <mergeCell ref="C21:D21"/>
    <mergeCell ref="C22:M22"/>
    <mergeCell ref="C15:D15"/>
    <mergeCell ref="C16:M16"/>
    <mergeCell ref="A8:B9"/>
    <mergeCell ref="C8:D9"/>
    <mergeCell ref="E8:F9"/>
    <mergeCell ref="G8:G9"/>
    <mergeCell ref="C10:D10"/>
    <mergeCell ref="H10:J10"/>
    <mergeCell ref="K10:L10"/>
    <mergeCell ref="A6:B7"/>
    <mergeCell ref="C6:D7"/>
    <mergeCell ref="E6:F7"/>
    <mergeCell ref="G6:G7"/>
    <mergeCell ref="C11:D11"/>
    <mergeCell ref="C12:D12"/>
    <mergeCell ref="C13:D13"/>
    <mergeCell ref="C14:M14"/>
    <mergeCell ref="H6:H7"/>
    <mergeCell ref="I6:M7"/>
    <mergeCell ref="H8:H9"/>
    <mergeCell ref="I8:M9"/>
    <mergeCell ref="A1:M1"/>
    <mergeCell ref="A2:B3"/>
    <mergeCell ref="C2:D3"/>
    <mergeCell ref="E2:F3"/>
    <mergeCell ref="G2:G3"/>
    <mergeCell ref="A4:B5"/>
    <mergeCell ref="C4:D5"/>
    <mergeCell ref="E4:F5"/>
    <mergeCell ref="G4:G5"/>
    <mergeCell ref="H2:H3"/>
    <mergeCell ref="I2:M3"/>
    <mergeCell ref="H4:H5"/>
    <mergeCell ref="I4:M5"/>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3" manualBreakCount="3">
    <brk id="25" max="12" man="1"/>
    <brk id="48" max="12" man="1"/>
    <brk id="73" max="12" man="1"/>
  </rowBreaks>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FD58B-1DD0-4713-99CB-D433FAC5C898}">
  <sheetPr codeName="List13">
    <pageSetUpPr fitToPage="1"/>
  </sheetPr>
  <dimension ref="A1:BV94"/>
  <sheetViews>
    <sheetView view="pageBreakPreview" zoomScale="40" zoomScaleNormal="25" zoomScaleSheetLayoutView="40" workbookViewId="0">
      <pane ySplit="11" topLeftCell="A12" activePane="bottomLeft" state="frozen"/>
      <selection activeCell="D44" sqref="D44"/>
      <selection pane="bottomLeft" activeCell="C44" sqref="C44:M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64.285156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85</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1012</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96</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SUM(H13:H21)</f>
        <v>0</v>
      </c>
      <c r="I12" s="100">
        <f>SUM(I13:I21)</f>
        <v>0</v>
      </c>
      <c r="J12" s="100">
        <f>SUM(J13:J21)</f>
        <v>0</v>
      </c>
      <c r="K12" s="101" t="s">
        <v>129</v>
      </c>
      <c r="L12" s="100">
        <f>SUM(L13:L21)</f>
        <v>6.6187110999999987</v>
      </c>
      <c r="M12" s="102" t="s">
        <v>129</v>
      </c>
      <c r="AG12" s="71" t="s">
        <v>129</v>
      </c>
      <c r="AQ12" s="67">
        <f>SUM(AH13:AH21)</f>
        <v>0</v>
      </c>
      <c r="AR12" s="67">
        <f>SUM(AI13:AI21)</f>
        <v>0</v>
      </c>
      <c r="AS12" s="67">
        <f>SUM(AJ13:AJ21)</f>
        <v>0</v>
      </c>
    </row>
    <row r="13" spans="1:74" x14ac:dyDescent="0.25">
      <c r="A13" s="92" t="s">
        <v>132</v>
      </c>
      <c r="B13" s="69" t="s">
        <v>150</v>
      </c>
      <c r="C13" s="306" t="s">
        <v>151</v>
      </c>
      <c r="D13" s="307"/>
      <c r="E13" s="69" t="s">
        <v>145</v>
      </c>
      <c r="F13" s="77">
        <v>1.53</v>
      </c>
      <c r="G13" s="218">
        <v>0</v>
      </c>
      <c r="H13" s="77">
        <f>F13*AM13</f>
        <v>0</v>
      </c>
      <c r="I13" s="77">
        <f>F13*AN13</f>
        <v>0</v>
      </c>
      <c r="J13" s="77">
        <f>F13*G13</f>
        <v>0</v>
      </c>
      <c r="K13" s="77">
        <v>2.478E-2</v>
      </c>
      <c r="L13" s="77">
        <f>F13*K13</f>
        <v>3.79134E-2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G13*0.057577053</f>
        <v>0</v>
      </c>
      <c r="AN13" s="77">
        <f>G13*(1-0.057577053)</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3.79134E-2</v>
      </c>
      <c r="BF13" s="77">
        <f>F13*AM13</f>
        <v>0</v>
      </c>
      <c r="BG13" s="77">
        <f>F13*AN13</f>
        <v>0</v>
      </c>
      <c r="BH13" s="77">
        <f>F13*G13</f>
        <v>0</v>
      </c>
      <c r="BI13" s="77"/>
      <c r="BJ13" s="77">
        <v>11</v>
      </c>
      <c r="BU13" s="77" t="e">
        <f>#REF!</f>
        <v>#REF!</v>
      </c>
      <c r="BV13" s="70" t="s">
        <v>151</v>
      </c>
    </row>
    <row r="14" spans="1:74" ht="40.5" customHeight="1" x14ac:dyDescent="0.25">
      <c r="A14" s="104"/>
      <c r="B14" s="81" t="s">
        <v>138</v>
      </c>
      <c r="C14" s="303" t="s">
        <v>985</v>
      </c>
      <c r="D14" s="304"/>
      <c r="E14" s="304"/>
      <c r="F14" s="304"/>
      <c r="G14" s="304"/>
      <c r="H14" s="304"/>
      <c r="I14" s="304"/>
      <c r="J14" s="304"/>
      <c r="K14" s="304"/>
      <c r="L14" s="304"/>
      <c r="M14" s="305"/>
    </row>
    <row r="15" spans="1:74" x14ac:dyDescent="0.25">
      <c r="A15" s="92" t="s">
        <v>142</v>
      </c>
      <c r="B15" s="69" t="s">
        <v>143</v>
      </c>
      <c r="C15" s="306" t="s">
        <v>144</v>
      </c>
      <c r="D15" s="307"/>
      <c r="E15" s="69" t="s">
        <v>145</v>
      </c>
      <c r="F15" s="77">
        <v>1.53</v>
      </c>
      <c r="G15" s="218">
        <v>0</v>
      </c>
      <c r="H15" s="77">
        <f>F15*AM15</f>
        <v>0</v>
      </c>
      <c r="I15" s="77">
        <f>F15*AN15</f>
        <v>0</v>
      </c>
      <c r="J15" s="77">
        <f>F15*G15</f>
        <v>0</v>
      </c>
      <c r="K15" s="77">
        <v>8.6899999999999998E-3</v>
      </c>
      <c r="L15" s="77">
        <f>F15*K15</f>
        <v>1.3295700000000001E-2</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G15*0.061949627</f>
        <v>0</v>
      </c>
      <c r="AN15" s="77">
        <f>G15*(1-0.061949627)</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1.3295700000000001E-2</v>
      </c>
      <c r="BF15" s="77">
        <f>F15*AM15</f>
        <v>0</v>
      </c>
      <c r="BG15" s="77">
        <f>F15*AN15</f>
        <v>0</v>
      </c>
      <c r="BH15" s="77">
        <f>F15*G15</f>
        <v>0</v>
      </c>
      <c r="BI15" s="77"/>
      <c r="BJ15" s="77">
        <v>11</v>
      </c>
      <c r="BU15" s="77" t="e">
        <f>#REF!</f>
        <v>#REF!</v>
      </c>
      <c r="BV15" s="70" t="s">
        <v>144</v>
      </c>
    </row>
    <row r="16" spans="1:74" ht="40.5" customHeight="1" x14ac:dyDescent="0.25">
      <c r="A16" s="104"/>
      <c r="B16" s="81" t="s">
        <v>138</v>
      </c>
      <c r="C16" s="303" t="s">
        <v>986</v>
      </c>
      <c r="D16" s="304"/>
      <c r="E16" s="304"/>
      <c r="F16" s="304"/>
      <c r="G16" s="304"/>
      <c r="H16" s="304"/>
      <c r="I16" s="304"/>
      <c r="J16" s="304"/>
      <c r="K16" s="304"/>
      <c r="L16" s="304"/>
      <c r="M16" s="305"/>
    </row>
    <row r="17" spans="1:74" x14ac:dyDescent="0.25">
      <c r="A17" s="92" t="s">
        <v>149</v>
      </c>
      <c r="B17" s="69" t="s">
        <v>493</v>
      </c>
      <c r="C17" s="306" t="s">
        <v>494</v>
      </c>
      <c r="D17" s="307"/>
      <c r="E17" s="69" t="s">
        <v>166</v>
      </c>
      <c r="F17" s="77">
        <v>4.0199999999999996</v>
      </c>
      <c r="G17" s="218">
        <v>0</v>
      </c>
      <c r="H17" s="77">
        <f>F17*AM17</f>
        <v>0</v>
      </c>
      <c r="I17" s="77">
        <f>F17*AN17</f>
        <v>0</v>
      </c>
      <c r="J17" s="77">
        <f>F17*G17</f>
        <v>0</v>
      </c>
      <c r="K17" s="77">
        <v>0.90010000000000001</v>
      </c>
      <c r="L17" s="77">
        <f>F17*K17</f>
        <v>3.6184019999999997</v>
      </c>
      <c r="M17" s="103" t="s">
        <v>35</v>
      </c>
      <c r="X17" s="77">
        <f>IF(AO17="5",BH17,0)</f>
        <v>0</v>
      </c>
      <c r="Z17" s="77">
        <f>IF(AO17="1",BF17,0)</f>
        <v>0</v>
      </c>
      <c r="AA17" s="77">
        <f>IF(AO17="1",BG17,0)</f>
        <v>0</v>
      </c>
      <c r="AB17" s="77">
        <f>IF(AO17="7",BF17,0)</f>
        <v>0</v>
      </c>
      <c r="AC17" s="77">
        <f>IF(AO17="7",BG17,0)</f>
        <v>0</v>
      </c>
      <c r="AD17" s="77">
        <f>IF(AO17="2",BF17,0)</f>
        <v>0</v>
      </c>
      <c r="AE17" s="77">
        <f>IF(AO17="2",BG17,0)</f>
        <v>0</v>
      </c>
      <c r="AF17" s="77">
        <f>IF(AO17="0",BH17,0)</f>
        <v>0</v>
      </c>
      <c r="AG17" s="71" t="s">
        <v>129</v>
      </c>
      <c r="AH17" s="77">
        <f>IF(AL17=0,J17,0)</f>
        <v>0</v>
      </c>
      <c r="AI17" s="77">
        <f>IF(AL17=15,J17,0)</f>
        <v>0</v>
      </c>
      <c r="AJ17" s="77">
        <f>IF(AL17=21,J17,0)</f>
        <v>0</v>
      </c>
      <c r="AL17" s="77">
        <v>15</v>
      </c>
      <c r="AM17" s="77">
        <f>G17*0.006611266</f>
        <v>0</v>
      </c>
      <c r="AN17" s="77">
        <f>G17*(1-0.006611266)</f>
        <v>0</v>
      </c>
      <c r="AO17" s="79" t="s">
        <v>132</v>
      </c>
      <c r="AT17" s="77">
        <f>AU17+AV17</f>
        <v>0</v>
      </c>
      <c r="AU17" s="77">
        <f>F17*AM17</f>
        <v>0</v>
      </c>
      <c r="AV17" s="77">
        <f>F17*AN17</f>
        <v>0</v>
      </c>
      <c r="AW17" s="79" t="s">
        <v>146</v>
      </c>
      <c r="AX17" s="79" t="s">
        <v>147</v>
      </c>
      <c r="AY17" s="71" t="s">
        <v>137</v>
      </c>
      <c r="BA17" s="77">
        <f>AU17+AV17</f>
        <v>0</v>
      </c>
      <c r="BB17" s="77">
        <f>G17/(100-BC17)*100</f>
        <v>0</v>
      </c>
      <c r="BC17" s="77">
        <v>0</v>
      </c>
      <c r="BD17" s="77">
        <f>L17</f>
        <v>3.6184019999999997</v>
      </c>
      <c r="BF17" s="77">
        <f>F17*AM17</f>
        <v>0</v>
      </c>
      <c r="BG17" s="77">
        <f>F17*AN17</f>
        <v>0</v>
      </c>
      <c r="BH17" s="77">
        <f>F17*G17</f>
        <v>0</v>
      </c>
      <c r="BI17" s="77"/>
      <c r="BJ17" s="77">
        <v>11</v>
      </c>
      <c r="BU17" s="77" t="e">
        <f>#REF!</f>
        <v>#REF!</v>
      </c>
      <c r="BV17" s="70" t="s">
        <v>494</v>
      </c>
    </row>
    <row r="18" spans="1:74" ht="162" customHeight="1" x14ac:dyDescent="0.25">
      <c r="A18" s="104"/>
      <c r="B18" s="81" t="s">
        <v>138</v>
      </c>
      <c r="C18" s="303" t="s">
        <v>1013</v>
      </c>
      <c r="D18" s="304"/>
      <c r="E18" s="304"/>
      <c r="F18" s="304"/>
      <c r="G18" s="304"/>
      <c r="H18" s="304"/>
      <c r="I18" s="304"/>
      <c r="J18" s="304"/>
      <c r="K18" s="304"/>
      <c r="L18" s="304"/>
      <c r="M18" s="305"/>
    </row>
    <row r="19" spans="1:74" x14ac:dyDescent="0.25">
      <c r="A19" s="92" t="s">
        <v>153</v>
      </c>
      <c r="B19" s="69" t="s">
        <v>1014</v>
      </c>
      <c r="C19" s="306" t="s">
        <v>1015</v>
      </c>
      <c r="D19" s="307"/>
      <c r="E19" s="69" t="s">
        <v>166</v>
      </c>
      <c r="F19" s="77">
        <v>3.83</v>
      </c>
      <c r="G19" s="218">
        <v>0</v>
      </c>
      <c r="H19" s="77">
        <f>F19*AM19</f>
        <v>0</v>
      </c>
      <c r="I19" s="77">
        <f>F19*AN19</f>
        <v>0</v>
      </c>
      <c r="J19" s="77">
        <f>F19*G19</f>
        <v>0</v>
      </c>
      <c r="K19" s="77">
        <v>0.44</v>
      </c>
      <c r="L19" s="77">
        <f>F19*K19</f>
        <v>1.6852</v>
      </c>
      <c r="M19" s="103" t="s">
        <v>35</v>
      </c>
      <c r="X19" s="77">
        <f>IF(AO19="5",BH19,0)</f>
        <v>0</v>
      </c>
      <c r="Z19" s="77">
        <f>IF(AO19="1",BF19,0)</f>
        <v>0</v>
      </c>
      <c r="AA19" s="77">
        <f>IF(AO19="1",BG19,0)</f>
        <v>0</v>
      </c>
      <c r="AB19" s="77">
        <f>IF(AO19="7",BF19,0)</f>
        <v>0</v>
      </c>
      <c r="AC19" s="77">
        <f>IF(AO19="7",BG19,0)</f>
        <v>0</v>
      </c>
      <c r="AD19" s="77">
        <f>IF(AO19="2",BF19,0)</f>
        <v>0</v>
      </c>
      <c r="AE19" s="77">
        <f>IF(AO19="2",BG19,0)</f>
        <v>0</v>
      </c>
      <c r="AF19" s="77">
        <f>IF(AO19="0",BH19,0)</f>
        <v>0</v>
      </c>
      <c r="AG19" s="71" t="s">
        <v>129</v>
      </c>
      <c r="AH19" s="77">
        <f>IF(AL19=0,J19,0)</f>
        <v>0</v>
      </c>
      <c r="AI19" s="77">
        <f>IF(AL19=15,J19,0)</f>
        <v>0</v>
      </c>
      <c r="AJ19" s="77">
        <f>IF(AL19=21,J19,0)</f>
        <v>0</v>
      </c>
      <c r="AL19" s="77">
        <v>15</v>
      </c>
      <c r="AM19" s="77">
        <f>G19*0</f>
        <v>0</v>
      </c>
      <c r="AN19" s="77">
        <f>G19*(1-0)</f>
        <v>0</v>
      </c>
      <c r="AO19" s="79" t="s">
        <v>132</v>
      </c>
      <c r="AT19" s="77">
        <f>AU19+AV19</f>
        <v>0</v>
      </c>
      <c r="AU19" s="77">
        <f>F19*AM19</f>
        <v>0</v>
      </c>
      <c r="AV19" s="77">
        <f>F19*AN19</f>
        <v>0</v>
      </c>
      <c r="AW19" s="79" t="s">
        <v>146</v>
      </c>
      <c r="AX19" s="79" t="s">
        <v>147</v>
      </c>
      <c r="AY19" s="71" t="s">
        <v>137</v>
      </c>
      <c r="BA19" s="77">
        <f>AU19+AV19</f>
        <v>0</v>
      </c>
      <c r="BB19" s="77">
        <f>G19/(100-BC19)*100</f>
        <v>0</v>
      </c>
      <c r="BC19" s="77">
        <v>0</v>
      </c>
      <c r="BD19" s="77">
        <f>L19</f>
        <v>1.6852</v>
      </c>
      <c r="BF19" s="77">
        <f>F19*AM19</f>
        <v>0</v>
      </c>
      <c r="BG19" s="77">
        <f>F19*AN19</f>
        <v>0</v>
      </c>
      <c r="BH19" s="77">
        <f>F19*G19</f>
        <v>0</v>
      </c>
      <c r="BI19" s="77"/>
      <c r="BJ19" s="77">
        <v>11</v>
      </c>
      <c r="BU19" s="77" t="e">
        <f>#REF!</f>
        <v>#REF!</v>
      </c>
      <c r="BV19" s="70" t="s">
        <v>1015</v>
      </c>
    </row>
    <row r="20" spans="1:74" ht="67.5" customHeight="1" x14ac:dyDescent="0.25">
      <c r="A20" s="104"/>
      <c r="B20" s="81" t="s">
        <v>138</v>
      </c>
      <c r="C20" s="303" t="s">
        <v>1016</v>
      </c>
      <c r="D20" s="304"/>
      <c r="E20" s="304"/>
      <c r="F20" s="304"/>
      <c r="G20" s="304"/>
      <c r="H20" s="304"/>
      <c r="I20" s="304"/>
      <c r="J20" s="304"/>
      <c r="K20" s="304"/>
      <c r="L20" s="304"/>
      <c r="M20" s="305"/>
    </row>
    <row r="21" spans="1:74" x14ac:dyDescent="0.25">
      <c r="A21" s="92" t="s">
        <v>158</v>
      </c>
      <c r="B21" s="69" t="s">
        <v>819</v>
      </c>
      <c r="C21" s="306" t="s">
        <v>990</v>
      </c>
      <c r="D21" s="307"/>
      <c r="E21" s="69" t="s">
        <v>166</v>
      </c>
      <c r="F21" s="77">
        <v>3.83</v>
      </c>
      <c r="G21" s="218">
        <v>0</v>
      </c>
      <c r="H21" s="77">
        <f>F21*AM21</f>
        <v>0</v>
      </c>
      <c r="I21" s="77">
        <f>F21*AN21</f>
        <v>0</v>
      </c>
      <c r="J21" s="77">
        <f>F21*G21</f>
        <v>0</v>
      </c>
      <c r="K21" s="77">
        <v>0.33</v>
      </c>
      <c r="L21" s="77">
        <f>F21*K21</f>
        <v>1.2639</v>
      </c>
      <c r="M21" s="103" t="s">
        <v>35</v>
      </c>
      <c r="X21" s="77">
        <f>IF(AO21="5",BH21,0)</f>
        <v>0</v>
      </c>
      <c r="Z21" s="77">
        <f>IF(AO21="1",BF21,0)</f>
        <v>0</v>
      </c>
      <c r="AA21" s="77">
        <f>IF(AO21="1",BG21,0)</f>
        <v>0</v>
      </c>
      <c r="AB21" s="77">
        <f>IF(AO21="7",BF21,0)</f>
        <v>0</v>
      </c>
      <c r="AC21" s="77">
        <f>IF(AO21="7",BG21,0)</f>
        <v>0</v>
      </c>
      <c r="AD21" s="77">
        <f>IF(AO21="2",BF21,0)</f>
        <v>0</v>
      </c>
      <c r="AE21" s="77">
        <f>IF(AO21="2",BG21,0)</f>
        <v>0</v>
      </c>
      <c r="AF21" s="77">
        <f>IF(AO21="0",BH21,0)</f>
        <v>0</v>
      </c>
      <c r="AG21" s="71" t="s">
        <v>129</v>
      </c>
      <c r="AH21" s="77">
        <f>IF(AL21=0,J21,0)</f>
        <v>0</v>
      </c>
      <c r="AI21" s="77">
        <f>IF(AL21=15,J21,0)</f>
        <v>0</v>
      </c>
      <c r="AJ21" s="77">
        <f>IF(AL21=21,J21,0)</f>
        <v>0</v>
      </c>
      <c r="AL21" s="77">
        <v>15</v>
      </c>
      <c r="AM21" s="77">
        <f>G21*0</f>
        <v>0</v>
      </c>
      <c r="AN21" s="77">
        <f>G21*(1-0)</f>
        <v>0</v>
      </c>
      <c r="AO21" s="79" t="s">
        <v>132</v>
      </c>
      <c r="AT21" s="77">
        <f>AU21+AV21</f>
        <v>0</v>
      </c>
      <c r="AU21" s="77">
        <f>F21*AM21</f>
        <v>0</v>
      </c>
      <c r="AV21" s="77">
        <f>F21*AN21</f>
        <v>0</v>
      </c>
      <c r="AW21" s="79" t="s">
        <v>146</v>
      </c>
      <c r="AX21" s="79" t="s">
        <v>147</v>
      </c>
      <c r="AY21" s="71" t="s">
        <v>137</v>
      </c>
      <c r="BA21" s="77">
        <f>AU21+AV21</f>
        <v>0</v>
      </c>
      <c r="BB21" s="77">
        <f>G21/(100-BC21)*100</f>
        <v>0</v>
      </c>
      <c r="BC21" s="77">
        <v>0</v>
      </c>
      <c r="BD21" s="77">
        <f>L21</f>
        <v>1.2639</v>
      </c>
      <c r="BF21" s="77">
        <f>F21*AM21</f>
        <v>0</v>
      </c>
      <c r="BG21" s="77">
        <f>F21*AN21</f>
        <v>0</v>
      </c>
      <c r="BH21" s="77">
        <f>F21*G21</f>
        <v>0</v>
      </c>
      <c r="BI21" s="77"/>
      <c r="BJ21" s="77">
        <v>11</v>
      </c>
      <c r="BU21" s="77" t="e">
        <f>#REF!</f>
        <v>#REF!</v>
      </c>
      <c r="BV21" s="70" t="s">
        <v>990</v>
      </c>
    </row>
    <row r="22" spans="1:74" ht="67.5" customHeight="1" x14ac:dyDescent="0.25">
      <c r="A22" s="104"/>
      <c r="B22" s="81" t="s">
        <v>138</v>
      </c>
      <c r="C22" s="303" t="s">
        <v>1017</v>
      </c>
      <c r="D22" s="304"/>
      <c r="E22" s="304"/>
      <c r="F22" s="304"/>
      <c r="G22" s="304"/>
      <c r="H22" s="304"/>
      <c r="I22" s="304"/>
      <c r="J22" s="304"/>
      <c r="K22" s="304"/>
      <c r="L22" s="304"/>
      <c r="M22" s="305"/>
    </row>
    <row r="23" spans="1:74" x14ac:dyDescent="0.25">
      <c r="A23" s="105" t="s">
        <v>129</v>
      </c>
      <c r="B23" s="74" t="s">
        <v>172</v>
      </c>
      <c r="C23" s="314" t="s">
        <v>173</v>
      </c>
      <c r="D23" s="315"/>
      <c r="E23" s="75" t="s">
        <v>87</v>
      </c>
      <c r="F23" s="75" t="s">
        <v>87</v>
      </c>
      <c r="G23" s="75" t="s">
        <v>87</v>
      </c>
      <c r="H23" s="67">
        <f>SUM(H24:H24)</f>
        <v>0</v>
      </c>
      <c r="I23" s="67">
        <f>SUM(I24:I24)</f>
        <v>0</v>
      </c>
      <c r="J23" s="67">
        <f>SUM(J24:J24)</f>
        <v>0</v>
      </c>
      <c r="K23" s="71" t="s">
        <v>129</v>
      </c>
      <c r="L23" s="67">
        <f>SUM(L24:L24)</f>
        <v>0</v>
      </c>
      <c r="M23" s="106" t="s">
        <v>129</v>
      </c>
      <c r="AG23" s="71" t="s">
        <v>129</v>
      </c>
      <c r="AQ23" s="67">
        <f>SUM(AH24:AH24)</f>
        <v>0</v>
      </c>
      <c r="AR23" s="67">
        <f>SUM(AI24:AI24)</f>
        <v>0</v>
      </c>
      <c r="AS23" s="67">
        <f>SUM(AJ24:AJ24)</f>
        <v>0</v>
      </c>
    </row>
    <row r="24" spans="1:74" x14ac:dyDescent="0.25">
      <c r="A24" s="92" t="s">
        <v>163</v>
      </c>
      <c r="B24" s="69" t="s">
        <v>175</v>
      </c>
      <c r="C24" s="306" t="s">
        <v>176</v>
      </c>
      <c r="D24" s="307"/>
      <c r="E24" s="69" t="s">
        <v>177</v>
      </c>
      <c r="F24" s="77">
        <v>1</v>
      </c>
      <c r="G24" s="218">
        <v>0</v>
      </c>
      <c r="H24" s="77">
        <f>F24*AM24</f>
        <v>0</v>
      </c>
      <c r="I24" s="77">
        <f>F24*AN24</f>
        <v>0</v>
      </c>
      <c r="J24" s="77">
        <f>F24*G24</f>
        <v>0</v>
      </c>
      <c r="K24" s="77">
        <v>0</v>
      </c>
      <c r="L24" s="77">
        <f>F24*K24</f>
        <v>0</v>
      </c>
      <c r="M24" s="103" t="s">
        <v>35</v>
      </c>
      <c r="X24" s="77">
        <f>IF(AO24="5",BH24,0)</f>
        <v>0</v>
      </c>
      <c r="Z24" s="77">
        <f>IF(AO24="1",BF24,0)</f>
        <v>0</v>
      </c>
      <c r="AA24" s="77">
        <f>IF(AO24="1",BG24,0)</f>
        <v>0</v>
      </c>
      <c r="AB24" s="77">
        <f>IF(AO24="7",BF24,0)</f>
        <v>0</v>
      </c>
      <c r="AC24" s="77">
        <f>IF(AO24="7",BG24,0)</f>
        <v>0</v>
      </c>
      <c r="AD24" s="77">
        <f>IF(AO24="2",BF24,0)</f>
        <v>0</v>
      </c>
      <c r="AE24" s="77">
        <f>IF(AO24="2",BG24,0)</f>
        <v>0</v>
      </c>
      <c r="AF24" s="77">
        <f>IF(AO24="0",BH24,0)</f>
        <v>0</v>
      </c>
      <c r="AG24" s="71" t="s">
        <v>129</v>
      </c>
      <c r="AH24" s="77">
        <f>IF(AL24=0,J24,0)</f>
        <v>0</v>
      </c>
      <c r="AI24" s="77">
        <f>IF(AL24=15,J24,0)</f>
        <v>0</v>
      </c>
      <c r="AJ24" s="77">
        <f>IF(AL24=21,J24,0)</f>
        <v>0</v>
      </c>
      <c r="AL24" s="77">
        <v>15</v>
      </c>
      <c r="AM24" s="77">
        <f>G24*0</f>
        <v>0</v>
      </c>
      <c r="AN24" s="77">
        <f>G24*(1-0)</f>
        <v>0</v>
      </c>
      <c r="AO24" s="79" t="s">
        <v>132</v>
      </c>
      <c r="AT24" s="77">
        <f>AU24+AV24</f>
        <v>0</v>
      </c>
      <c r="AU24" s="77">
        <f>F24*AM24</f>
        <v>0</v>
      </c>
      <c r="AV24" s="77">
        <f>F24*AN24</f>
        <v>0</v>
      </c>
      <c r="AW24" s="79" t="s">
        <v>178</v>
      </c>
      <c r="AX24" s="79" t="s">
        <v>147</v>
      </c>
      <c r="AY24" s="71" t="s">
        <v>137</v>
      </c>
      <c r="BA24" s="77">
        <f>AU24+AV24</f>
        <v>0</v>
      </c>
      <c r="BB24" s="77">
        <f>G24/(100-BC24)*100</f>
        <v>0</v>
      </c>
      <c r="BC24" s="77">
        <v>0</v>
      </c>
      <c r="BD24" s="77">
        <f>L24</f>
        <v>0</v>
      </c>
      <c r="BF24" s="77">
        <f>F24*AM24</f>
        <v>0</v>
      </c>
      <c r="BG24" s="77">
        <f>F24*AN24</f>
        <v>0</v>
      </c>
      <c r="BH24" s="77">
        <f>F24*G24</f>
        <v>0</v>
      </c>
      <c r="BI24" s="77"/>
      <c r="BJ24" s="77">
        <v>12</v>
      </c>
      <c r="BU24" s="77" t="e">
        <f>#REF!</f>
        <v>#REF!</v>
      </c>
      <c r="BV24" s="70" t="s">
        <v>176</v>
      </c>
    </row>
    <row r="25" spans="1:74" ht="40.5" customHeight="1" x14ac:dyDescent="0.25">
      <c r="A25" s="104"/>
      <c r="B25" s="81" t="s">
        <v>138</v>
      </c>
      <c r="C25" s="303" t="s">
        <v>992</v>
      </c>
      <c r="D25" s="304"/>
      <c r="E25" s="304"/>
      <c r="F25" s="304"/>
      <c r="G25" s="304"/>
      <c r="H25" s="304"/>
      <c r="I25" s="304"/>
      <c r="J25" s="304"/>
      <c r="K25" s="304"/>
      <c r="L25" s="304"/>
      <c r="M25" s="305"/>
    </row>
    <row r="26" spans="1:74" x14ac:dyDescent="0.25">
      <c r="A26" s="105" t="s">
        <v>129</v>
      </c>
      <c r="B26" s="74" t="s">
        <v>180</v>
      </c>
      <c r="C26" s="314" t="s">
        <v>181</v>
      </c>
      <c r="D26" s="315"/>
      <c r="E26" s="75" t="s">
        <v>87</v>
      </c>
      <c r="F26" s="75" t="s">
        <v>87</v>
      </c>
      <c r="G26" s="75" t="s">
        <v>87</v>
      </c>
      <c r="H26" s="67">
        <f>SUM(H27:H33)</f>
        <v>0</v>
      </c>
      <c r="I26" s="67">
        <f>SUM(I27:I33)</f>
        <v>0</v>
      </c>
      <c r="J26" s="67">
        <f>SUM(J27:J33)</f>
        <v>0</v>
      </c>
      <c r="K26" s="71" t="s">
        <v>129</v>
      </c>
      <c r="L26" s="67">
        <f>SUM(L27:L33)</f>
        <v>0</v>
      </c>
      <c r="M26" s="106" t="s">
        <v>129</v>
      </c>
      <c r="AG26" s="71" t="s">
        <v>129</v>
      </c>
      <c r="AQ26" s="67">
        <f>SUM(AH27:AH33)</f>
        <v>0</v>
      </c>
      <c r="AR26" s="67">
        <f>SUM(AI27:AI33)</f>
        <v>0</v>
      </c>
      <c r="AS26" s="67">
        <f>SUM(AJ27:AJ33)</f>
        <v>0</v>
      </c>
    </row>
    <row r="27" spans="1:74" x14ac:dyDescent="0.25">
      <c r="A27" s="92" t="s">
        <v>168</v>
      </c>
      <c r="B27" s="69" t="s">
        <v>825</v>
      </c>
      <c r="C27" s="306" t="s">
        <v>907</v>
      </c>
      <c r="D27" s="307"/>
      <c r="E27" s="69" t="s">
        <v>177</v>
      </c>
      <c r="F27" s="77">
        <v>5</v>
      </c>
      <c r="G27" s="218">
        <v>0</v>
      </c>
      <c r="H27" s="77">
        <f>F27*AM27</f>
        <v>0</v>
      </c>
      <c r="I27" s="77">
        <f>F27*AN27</f>
        <v>0</v>
      </c>
      <c r="J27" s="77">
        <f>F27*G27</f>
        <v>0</v>
      </c>
      <c r="K27" s="77">
        <v>0</v>
      </c>
      <c r="L27" s="77">
        <f>F27*K27</f>
        <v>0</v>
      </c>
      <c r="M27" s="103"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f>
        <v>0</v>
      </c>
      <c r="AN27" s="77">
        <f>G27*(1-0)</f>
        <v>0</v>
      </c>
      <c r="AO27" s="79" t="s">
        <v>132</v>
      </c>
      <c r="AT27" s="77">
        <f>AU27+AV27</f>
        <v>0</v>
      </c>
      <c r="AU27" s="77">
        <f>F27*AM27</f>
        <v>0</v>
      </c>
      <c r="AV27" s="77">
        <f>F27*AN27</f>
        <v>0</v>
      </c>
      <c r="AW27" s="79" t="s">
        <v>185</v>
      </c>
      <c r="AX27" s="79" t="s">
        <v>147</v>
      </c>
      <c r="AY27" s="71" t="s">
        <v>137</v>
      </c>
      <c r="BA27" s="77">
        <f>AU27+AV27</f>
        <v>0</v>
      </c>
      <c r="BB27" s="77">
        <f>G27/(100-BC27)*100</f>
        <v>0</v>
      </c>
      <c r="BC27" s="77">
        <v>0</v>
      </c>
      <c r="BD27" s="77">
        <f>L27</f>
        <v>0</v>
      </c>
      <c r="BF27" s="77">
        <f>F27*AM27</f>
        <v>0</v>
      </c>
      <c r="BG27" s="77">
        <f>F27*AN27</f>
        <v>0</v>
      </c>
      <c r="BH27" s="77">
        <f>F27*G27</f>
        <v>0</v>
      </c>
      <c r="BI27" s="77"/>
      <c r="BJ27" s="77">
        <v>13</v>
      </c>
      <c r="BU27" s="77" t="e">
        <f>#REF!</f>
        <v>#REF!</v>
      </c>
      <c r="BV27" s="70" t="s">
        <v>907</v>
      </c>
    </row>
    <row r="28" spans="1:74" ht="121.5" customHeight="1" thickBot="1" x14ac:dyDescent="0.3">
      <c r="A28" s="107"/>
      <c r="B28" s="108" t="s">
        <v>138</v>
      </c>
      <c r="C28" s="308" t="s">
        <v>1018</v>
      </c>
      <c r="D28" s="309"/>
      <c r="E28" s="309"/>
      <c r="F28" s="309"/>
      <c r="G28" s="309"/>
      <c r="H28" s="309"/>
      <c r="I28" s="309"/>
      <c r="J28" s="309"/>
      <c r="K28" s="309"/>
      <c r="L28" s="309"/>
      <c r="M28" s="310"/>
    </row>
    <row r="29" spans="1:74" x14ac:dyDescent="0.25">
      <c r="A29" s="122" t="s">
        <v>174</v>
      </c>
      <c r="B29" s="109" t="s">
        <v>188</v>
      </c>
      <c r="C29" s="312" t="s">
        <v>909</v>
      </c>
      <c r="D29" s="313"/>
      <c r="E29" s="109" t="s">
        <v>177</v>
      </c>
      <c r="F29" s="123">
        <v>2.5</v>
      </c>
      <c r="G29" s="219">
        <v>0</v>
      </c>
      <c r="H29" s="123">
        <f>F29*AM29</f>
        <v>0</v>
      </c>
      <c r="I29" s="123">
        <f>F29*AN29</f>
        <v>0</v>
      </c>
      <c r="J29" s="123">
        <f>F29*G29</f>
        <v>0</v>
      </c>
      <c r="K29" s="123">
        <v>0</v>
      </c>
      <c r="L29" s="123">
        <f>F29*K29</f>
        <v>0</v>
      </c>
      <c r="M29" s="124"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185</v>
      </c>
      <c r="AX29" s="79" t="s">
        <v>147</v>
      </c>
      <c r="AY29" s="71" t="s">
        <v>137</v>
      </c>
      <c r="BA29" s="77">
        <f>AU29+AV29</f>
        <v>0</v>
      </c>
      <c r="BB29" s="77">
        <f>G29/(100-BC29)*100</f>
        <v>0</v>
      </c>
      <c r="BC29" s="77">
        <v>0</v>
      </c>
      <c r="BD29" s="77">
        <f>L29</f>
        <v>0</v>
      </c>
      <c r="BF29" s="77">
        <f>F29*AM29</f>
        <v>0</v>
      </c>
      <c r="BG29" s="77">
        <f>F29*AN29</f>
        <v>0</v>
      </c>
      <c r="BH29" s="77">
        <f>F29*G29</f>
        <v>0</v>
      </c>
      <c r="BI29" s="77"/>
      <c r="BJ29" s="77">
        <v>13</v>
      </c>
      <c r="BU29" s="77" t="e">
        <f>#REF!</f>
        <v>#REF!</v>
      </c>
      <c r="BV29" s="70" t="s">
        <v>909</v>
      </c>
    </row>
    <row r="30" spans="1:74" ht="40.5" customHeight="1" x14ac:dyDescent="0.25">
      <c r="A30" s="104"/>
      <c r="B30" s="81" t="s">
        <v>138</v>
      </c>
      <c r="C30" s="303" t="s">
        <v>1019</v>
      </c>
      <c r="D30" s="304"/>
      <c r="E30" s="304"/>
      <c r="F30" s="304"/>
      <c r="G30" s="304"/>
      <c r="H30" s="304"/>
      <c r="I30" s="304"/>
      <c r="J30" s="304"/>
      <c r="K30" s="304"/>
      <c r="L30" s="304"/>
      <c r="M30" s="305"/>
    </row>
    <row r="31" spans="1:74" x14ac:dyDescent="0.25">
      <c r="A31" s="92" t="s">
        <v>182</v>
      </c>
      <c r="B31" s="69" t="s">
        <v>829</v>
      </c>
      <c r="C31" s="306" t="s">
        <v>830</v>
      </c>
      <c r="D31" s="307"/>
      <c r="E31" s="69" t="s">
        <v>177</v>
      </c>
      <c r="F31" s="77">
        <v>5</v>
      </c>
      <c r="G31" s="218">
        <v>0</v>
      </c>
      <c r="H31" s="77">
        <f>F31*AM31</f>
        <v>0</v>
      </c>
      <c r="I31" s="77">
        <f>F31*AN31</f>
        <v>0</v>
      </c>
      <c r="J31" s="77">
        <f>F31*G31</f>
        <v>0</v>
      </c>
      <c r="K31" s="77">
        <v>0</v>
      </c>
      <c r="L31" s="77">
        <f>F31*K31</f>
        <v>0</v>
      </c>
      <c r="M31" s="103" t="s">
        <v>35</v>
      </c>
      <c r="X31" s="77">
        <f>IF(AO31="5",BH31,0)</f>
        <v>0</v>
      </c>
      <c r="Z31" s="77">
        <f>IF(AO31="1",BF31,0)</f>
        <v>0</v>
      </c>
      <c r="AA31" s="77">
        <f>IF(AO31="1",BG31,0)</f>
        <v>0</v>
      </c>
      <c r="AB31" s="77">
        <f>IF(AO31="7",BF31,0)</f>
        <v>0</v>
      </c>
      <c r="AC31" s="77">
        <f>IF(AO31="7",BG31,0)</f>
        <v>0</v>
      </c>
      <c r="AD31" s="77">
        <f>IF(AO31="2",BF31,0)</f>
        <v>0</v>
      </c>
      <c r="AE31" s="77">
        <f>IF(AO31="2",BG31,0)</f>
        <v>0</v>
      </c>
      <c r="AF31" s="77">
        <f>IF(AO31="0",BH31,0)</f>
        <v>0</v>
      </c>
      <c r="AG31" s="71" t="s">
        <v>129</v>
      </c>
      <c r="AH31" s="77">
        <f>IF(AL31=0,J31,0)</f>
        <v>0</v>
      </c>
      <c r="AI31" s="77">
        <f>IF(AL31=15,J31,0)</f>
        <v>0</v>
      </c>
      <c r="AJ31" s="77">
        <f>IF(AL31=21,J31,0)</f>
        <v>0</v>
      </c>
      <c r="AL31" s="77">
        <v>15</v>
      </c>
      <c r="AM31" s="77">
        <f>G31*0</f>
        <v>0</v>
      </c>
      <c r="AN31" s="77">
        <f>G31*(1-0)</f>
        <v>0</v>
      </c>
      <c r="AO31" s="79" t="s">
        <v>132</v>
      </c>
      <c r="AT31" s="77">
        <f>AU31+AV31</f>
        <v>0</v>
      </c>
      <c r="AU31" s="77">
        <f>F31*AM31</f>
        <v>0</v>
      </c>
      <c r="AV31" s="77">
        <f>F31*AN31</f>
        <v>0</v>
      </c>
      <c r="AW31" s="79" t="s">
        <v>185</v>
      </c>
      <c r="AX31" s="79" t="s">
        <v>147</v>
      </c>
      <c r="AY31" s="71" t="s">
        <v>137</v>
      </c>
      <c r="BA31" s="77">
        <f>AU31+AV31</f>
        <v>0</v>
      </c>
      <c r="BB31" s="77">
        <f>G31/(100-BC31)*100</f>
        <v>0</v>
      </c>
      <c r="BC31" s="77">
        <v>0</v>
      </c>
      <c r="BD31" s="77">
        <f>L31</f>
        <v>0</v>
      </c>
      <c r="BF31" s="77">
        <f>F31*AM31</f>
        <v>0</v>
      </c>
      <c r="BG31" s="77">
        <f>F31*AN31</f>
        <v>0</v>
      </c>
      <c r="BH31" s="77">
        <f>F31*G31</f>
        <v>0</v>
      </c>
      <c r="BI31" s="77"/>
      <c r="BJ31" s="77">
        <v>13</v>
      </c>
      <c r="BU31" s="77" t="e">
        <f>#REF!</f>
        <v>#REF!</v>
      </c>
      <c r="BV31" s="70" t="s">
        <v>830</v>
      </c>
    </row>
    <row r="32" spans="1:74" ht="121.5" customHeight="1" x14ac:dyDescent="0.25">
      <c r="A32" s="104"/>
      <c r="B32" s="81" t="s">
        <v>138</v>
      </c>
      <c r="C32" s="303" t="s">
        <v>1020</v>
      </c>
      <c r="D32" s="304"/>
      <c r="E32" s="304"/>
      <c r="F32" s="304"/>
      <c r="G32" s="304"/>
      <c r="H32" s="304"/>
      <c r="I32" s="304"/>
      <c r="J32" s="304"/>
      <c r="K32" s="304"/>
      <c r="L32" s="304"/>
      <c r="M32" s="305"/>
    </row>
    <row r="33" spans="1:74" x14ac:dyDescent="0.25">
      <c r="A33" s="92" t="s">
        <v>187</v>
      </c>
      <c r="B33" s="69" t="s">
        <v>194</v>
      </c>
      <c r="C33" s="306" t="s">
        <v>912</v>
      </c>
      <c r="D33" s="307"/>
      <c r="E33" s="69" t="s">
        <v>177</v>
      </c>
      <c r="F33" s="77">
        <v>1.25</v>
      </c>
      <c r="G33" s="218">
        <v>0</v>
      </c>
      <c r="H33" s="77">
        <f>F33*AM33</f>
        <v>0</v>
      </c>
      <c r="I33" s="77">
        <f>F33*AN33</f>
        <v>0</v>
      </c>
      <c r="J33" s="77">
        <f>F33*G33</f>
        <v>0</v>
      </c>
      <c r="K33" s="77">
        <v>0</v>
      </c>
      <c r="L33" s="77">
        <f>F33*K33</f>
        <v>0</v>
      </c>
      <c r="M33" s="103" t="s">
        <v>35</v>
      </c>
      <c r="X33" s="77">
        <f>IF(AO33="5",BH33,0)</f>
        <v>0</v>
      </c>
      <c r="Z33" s="77">
        <f>IF(AO33="1",BF33,0)</f>
        <v>0</v>
      </c>
      <c r="AA33" s="77">
        <f>IF(AO33="1",BG33,0)</f>
        <v>0</v>
      </c>
      <c r="AB33" s="77">
        <f>IF(AO33="7",BF33,0)</f>
        <v>0</v>
      </c>
      <c r="AC33" s="77">
        <f>IF(AO33="7",BG33,0)</f>
        <v>0</v>
      </c>
      <c r="AD33" s="77">
        <f>IF(AO33="2",BF33,0)</f>
        <v>0</v>
      </c>
      <c r="AE33" s="77">
        <f>IF(AO33="2",BG33,0)</f>
        <v>0</v>
      </c>
      <c r="AF33" s="77">
        <f>IF(AO33="0",BH33,0)</f>
        <v>0</v>
      </c>
      <c r="AG33" s="71" t="s">
        <v>129</v>
      </c>
      <c r="AH33" s="77">
        <f>IF(AL33=0,J33,0)</f>
        <v>0</v>
      </c>
      <c r="AI33" s="77">
        <f>IF(AL33=15,J33,0)</f>
        <v>0</v>
      </c>
      <c r="AJ33" s="77">
        <f>IF(AL33=21,J33,0)</f>
        <v>0</v>
      </c>
      <c r="AL33" s="77">
        <v>15</v>
      </c>
      <c r="AM33" s="77">
        <f>G33*0</f>
        <v>0</v>
      </c>
      <c r="AN33" s="77">
        <f>G33*(1-0)</f>
        <v>0</v>
      </c>
      <c r="AO33" s="79" t="s">
        <v>132</v>
      </c>
      <c r="AT33" s="77">
        <f>AU33+AV33</f>
        <v>0</v>
      </c>
      <c r="AU33" s="77">
        <f>F33*AM33</f>
        <v>0</v>
      </c>
      <c r="AV33" s="77">
        <f>F33*AN33</f>
        <v>0</v>
      </c>
      <c r="AW33" s="79" t="s">
        <v>185</v>
      </c>
      <c r="AX33" s="79" t="s">
        <v>147</v>
      </c>
      <c r="AY33" s="71" t="s">
        <v>137</v>
      </c>
      <c r="BA33" s="77">
        <f>AU33+AV33</f>
        <v>0</v>
      </c>
      <c r="BB33" s="77">
        <f>G33/(100-BC33)*100</f>
        <v>0</v>
      </c>
      <c r="BC33" s="77">
        <v>0</v>
      </c>
      <c r="BD33" s="77">
        <f>L33</f>
        <v>0</v>
      </c>
      <c r="BF33" s="77">
        <f>F33*AM33</f>
        <v>0</v>
      </c>
      <c r="BG33" s="77">
        <f>F33*AN33</f>
        <v>0</v>
      </c>
      <c r="BH33" s="77">
        <f>F33*G33</f>
        <v>0</v>
      </c>
      <c r="BI33" s="77"/>
      <c r="BJ33" s="77">
        <v>13</v>
      </c>
      <c r="BU33" s="77" t="e">
        <f>#REF!</f>
        <v>#REF!</v>
      </c>
      <c r="BV33" s="70" t="s">
        <v>912</v>
      </c>
    </row>
    <row r="34" spans="1:74" ht="40.5" customHeight="1" x14ac:dyDescent="0.25">
      <c r="A34" s="104"/>
      <c r="B34" s="81" t="s">
        <v>138</v>
      </c>
      <c r="C34" s="303" t="s">
        <v>1021</v>
      </c>
      <c r="D34" s="304"/>
      <c r="E34" s="304"/>
      <c r="F34" s="304"/>
      <c r="G34" s="304"/>
      <c r="H34" s="304"/>
      <c r="I34" s="304"/>
      <c r="J34" s="304"/>
      <c r="K34" s="304"/>
      <c r="L34" s="304"/>
      <c r="M34" s="305"/>
    </row>
    <row r="35" spans="1:74" x14ac:dyDescent="0.25">
      <c r="A35" s="105" t="s">
        <v>129</v>
      </c>
      <c r="B35" s="74" t="s">
        <v>204</v>
      </c>
      <c r="C35" s="314" t="s">
        <v>208</v>
      </c>
      <c r="D35" s="315"/>
      <c r="E35" s="75" t="s">
        <v>87</v>
      </c>
      <c r="F35" s="75" t="s">
        <v>87</v>
      </c>
      <c r="G35" s="75" t="s">
        <v>87</v>
      </c>
      <c r="H35" s="67">
        <f>SUM(H36:H38)</f>
        <v>0</v>
      </c>
      <c r="I35" s="67">
        <f>SUM(I36:I38)</f>
        <v>0</v>
      </c>
      <c r="J35" s="67">
        <f>SUM(J36:J38)</f>
        <v>0</v>
      </c>
      <c r="K35" s="71" t="s">
        <v>129</v>
      </c>
      <c r="L35" s="67">
        <f>SUM(L36:L38)</f>
        <v>4.3E-3</v>
      </c>
      <c r="M35" s="106" t="s">
        <v>129</v>
      </c>
      <c r="AG35" s="71" t="s">
        <v>129</v>
      </c>
      <c r="AQ35" s="67">
        <f>SUM(AH36:AH38)</f>
        <v>0</v>
      </c>
      <c r="AR35" s="67">
        <f>SUM(AI36:AI38)</f>
        <v>0</v>
      </c>
      <c r="AS35" s="67">
        <f>SUM(AJ36:AJ38)</f>
        <v>0</v>
      </c>
    </row>
    <row r="36" spans="1:74" x14ac:dyDescent="0.25">
      <c r="A36" s="92" t="s">
        <v>140</v>
      </c>
      <c r="B36" s="69" t="s">
        <v>210</v>
      </c>
      <c r="C36" s="306" t="s">
        <v>211</v>
      </c>
      <c r="D36" s="307"/>
      <c r="E36" s="69" t="s">
        <v>166</v>
      </c>
      <c r="F36" s="77">
        <v>5</v>
      </c>
      <c r="G36" s="218">
        <v>0</v>
      </c>
      <c r="H36" s="77">
        <f>F36*AM36</f>
        <v>0</v>
      </c>
      <c r="I36" s="77">
        <f>F36*AN36</f>
        <v>0</v>
      </c>
      <c r="J36" s="77">
        <f>F36*G36</f>
        <v>0</v>
      </c>
      <c r="K36" s="77">
        <v>8.5999999999999998E-4</v>
      </c>
      <c r="L36" s="77">
        <f>F36*K36</f>
        <v>4.3E-3</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G36*0.088676717</f>
        <v>0</v>
      </c>
      <c r="AN36" s="77">
        <f>G36*(1-0.088676717)</f>
        <v>0</v>
      </c>
      <c r="AO36" s="79" t="s">
        <v>132</v>
      </c>
      <c r="AT36" s="77">
        <f>AU36+AV36</f>
        <v>0</v>
      </c>
      <c r="AU36" s="77">
        <f>F36*AM36</f>
        <v>0</v>
      </c>
      <c r="AV36" s="77">
        <f>F36*AN36</f>
        <v>0</v>
      </c>
      <c r="AW36" s="79" t="s">
        <v>212</v>
      </c>
      <c r="AX36" s="79" t="s">
        <v>147</v>
      </c>
      <c r="AY36" s="71" t="s">
        <v>137</v>
      </c>
      <c r="BA36" s="77">
        <f>AU36+AV36</f>
        <v>0</v>
      </c>
      <c r="BB36" s="77">
        <f>G36/(100-BC36)*100</f>
        <v>0</v>
      </c>
      <c r="BC36" s="77">
        <v>0</v>
      </c>
      <c r="BD36" s="77">
        <f>L36</f>
        <v>4.3E-3</v>
      </c>
      <c r="BF36" s="77">
        <f>F36*AM36</f>
        <v>0</v>
      </c>
      <c r="BG36" s="77">
        <f>F36*AN36</f>
        <v>0</v>
      </c>
      <c r="BH36" s="77">
        <f>F36*G36</f>
        <v>0</v>
      </c>
      <c r="BI36" s="77"/>
      <c r="BJ36" s="77">
        <v>15</v>
      </c>
      <c r="BU36" s="77" t="e">
        <f>#REF!</f>
        <v>#REF!</v>
      </c>
      <c r="BV36" s="70" t="s">
        <v>211</v>
      </c>
    </row>
    <row r="37" spans="1:74" ht="40.5" customHeight="1" x14ac:dyDescent="0.25">
      <c r="A37" s="104"/>
      <c r="B37" s="81" t="s">
        <v>138</v>
      </c>
      <c r="C37" s="303" t="s">
        <v>997</v>
      </c>
      <c r="D37" s="304"/>
      <c r="E37" s="304"/>
      <c r="F37" s="304"/>
      <c r="G37" s="304"/>
      <c r="H37" s="304"/>
      <c r="I37" s="304"/>
      <c r="J37" s="304"/>
      <c r="K37" s="304"/>
      <c r="L37" s="304"/>
      <c r="M37" s="305"/>
    </row>
    <row r="38" spans="1:74" x14ac:dyDescent="0.25">
      <c r="A38" s="92" t="s">
        <v>172</v>
      </c>
      <c r="B38" s="69" t="s">
        <v>215</v>
      </c>
      <c r="C38" s="306" t="s">
        <v>216</v>
      </c>
      <c r="D38" s="307"/>
      <c r="E38" s="69" t="s">
        <v>166</v>
      </c>
      <c r="F38" s="77">
        <v>5</v>
      </c>
      <c r="G38" s="218">
        <v>0</v>
      </c>
      <c r="H38" s="77">
        <f>F38*AM38</f>
        <v>0</v>
      </c>
      <c r="I38" s="77">
        <f>F38*AN38</f>
        <v>0</v>
      </c>
      <c r="J38" s="77">
        <f>F38*G38</f>
        <v>0</v>
      </c>
      <c r="K38" s="77">
        <v>0</v>
      </c>
      <c r="L38" s="77">
        <f>F38*K38</f>
        <v>0</v>
      </c>
      <c r="M38" s="103" t="s">
        <v>35</v>
      </c>
      <c r="X38" s="77">
        <f>IF(AO38="5",BH38,0)</f>
        <v>0</v>
      </c>
      <c r="Z38" s="77">
        <f>IF(AO38="1",BF38,0)</f>
        <v>0</v>
      </c>
      <c r="AA38" s="77">
        <f>IF(AO38="1",BG38,0)</f>
        <v>0</v>
      </c>
      <c r="AB38" s="77">
        <f>IF(AO38="7",BF38,0)</f>
        <v>0</v>
      </c>
      <c r="AC38" s="77">
        <f>IF(AO38="7",BG38,0)</f>
        <v>0</v>
      </c>
      <c r="AD38" s="77">
        <f>IF(AO38="2",BF38,0)</f>
        <v>0</v>
      </c>
      <c r="AE38" s="77">
        <f>IF(AO38="2",BG38,0)</f>
        <v>0</v>
      </c>
      <c r="AF38" s="77">
        <f>IF(AO38="0",BH38,0)</f>
        <v>0</v>
      </c>
      <c r="AG38" s="71" t="s">
        <v>129</v>
      </c>
      <c r="AH38" s="77">
        <f>IF(AL38=0,J38,0)</f>
        <v>0</v>
      </c>
      <c r="AI38" s="77">
        <f>IF(AL38=15,J38,0)</f>
        <v>0</v>
      </c>
      <c r="AJ38" s="77">
        <f>IF(AL38=21,J38,0)</f>
        <v>0</v>
      </c>
      <c r="AL38" s="77">
        <v>15</v>
      </c>
      <c r="AM38" s="77">
        <f>G38*0</f>
        <v>0</v>
      </c>
      <c r="AN38" s="77">
        <f>G38*(1-0)</f>
        <v>0</v>
      </c>
      <c r="AO38" s="79" t="s">
        <v>132</v>
      </c>
      <c r="AT38" s="77">
        <f>AU38+AV38</f>
        <v>0</v>
      </c>
      <c r="AU38" s="77">
        <f>F38*AM38</f>
        <v>0</v>
      </c>
      <c r="AV38" s="77">
        <f>F38*AN38</f>
        <v>0</v>
      </c>
      <c r="AW38" s="79" t="s">
        <v>212</v>
      </c>
      <c r="AX38" s="79" t="s">
        <v>147</v>
      </c>
      <c r="AY38" s="71" t="s">
        <v>137</v>
      </c>
      <c r="BA38" s="77">
        <f>AU38+AV38</f>
        <v>0</v>
      </c>
      <c r="BB38" s="77">
        <f>G38/(100-BC38)*100</f>
        <v>0</v>
      </c>
      <c r="BC38" s="77">
        <v>0</v>
      </c>
      <c r="BD38" s="77">
        <f>L38</f>
        <v>0</v>
      </c>
      <c r="BF38" s="77">
        <f>F38*AM38</f>
        <v>0</v>
      </c>
      <c r="BG38" s="77">
        <f>F38*AN38</f>
        <v>0</v>
      </c>
      <c r="BH38" s="77">
        <f>F38*G38</f>
        <v>0</v>
      </c>
      <c r="BI38" s="77"/>
      <c r="BJ38" s="77">
        <v>15</v>
      </c>
      <c r="BU38" s="77" t="e">
        <f>#REF!</f>
        <v>#REF!</v>
      </c>
      <c r="BV38" s="70" t="s">
        <v>216</v>
      </c>
    </row>
    <row r="39" spans="1:74" ht="40.5" customHeight="1" x14ac:dyDescent="0.25">
      <c r="A39" s="104"/>
      <c r="B39" s="81" t="s">
        <v>138</v>
      </c>
      <c r="C39" s="303" t="s">
        <v>998</v>
      </c>
      <c r="D39" s="304"/>
      <c r="E39" s="304"/>
      <c r="F39" s="304"/>
      <c r="G39" s="304"/>
      <c r="H39" s="304"/>
      <c r="I39" s="304"/>
      <c r="J39" s="304"/>
      <c r="K39" s="304"/>
      <c r="L39" s="304"/>
      <c r="M39" s="305"/>
    </row>
    <row r="40" spans="1:74" x14ac:dyDescent="0.25">
      <c r="A40" s="105" t="s">
        <v>129</v>
      </c>
      <c r="B40" s="74" t="s">
        <v>209</v>
      </c>
      <c r="C40" s="314" t="s">
        <v>218</v>
      </c>
      <c r="D40" s="315"/>
      <c r="E40" s="75" t="s">
        <v>87</v>
      </c>
      <c r="F40" s="75" t="s">
        <v>87</v>
      </c>
      <c r="G40" s="75" t="s">
        <v>87</v>
      </c>
      <c r="H40" s="67">
        <f>SUM(H41:H47)</f>
        <v>0</v>
      </c>
      <c r="I40" s="67">
        <f>SUM(I41:I47)</f>
        <v>0</v>
      </c>
      <c r="J40" s="67">
        <f>SUM(J41:J47)</f>
        <v>0</v>
      </c>
      <c r="K40" s="71" t="s">
        <v>129</v>
      </c>
      <c r="L40" s="67">
        <f>SUM(L41:L47)</f>
        <v>0</v>
      </c>
      <c r="M40" s="106" t="s">
        <v>129</v>
      </c>
      <c r="AG40" s="71" t="s">
        <v>129</v>
      </c>
      <c r="AQ40" s="67">
        <f>SUM(AH41:AH47)</f>
        <v>0</v>
      </c>
      <c r="AR40" s="67">
        <f>SUM(AI41:AI47)</f>
        <v>0</v>
      </c>
      <c r="AS40" s="67">
        <f>SUM(AJ41:AJ47)</f>
        <v>0</v>
      </c>
    </row>
    <row r="41" spans="1:74" x14ac:dyDescent="0.25">
      <c r="A41" s="92" t="s">
        <v>180</v>
      </c>
      <c r="B41" s="69" t="s">
        <v>220</v>
      </c>
      <c r="C41" s="306" t="s">
        <v>221</v>
      </c>
      <c r="D41" s="307"/>
      <c r="E41" s="69" t="s">
        <v>177</v>
      </c>
      <c r="F41" s="77">
        <v>5</v>
      </c>
      <c r="G41" s="218">
        <v>0</v>
      </c>
      <c r="H41" s="77">
        <f>F41*AM41</f>
        <v>0</v>
      </c>
      <c r="I41" s="77">
        <f>F41*AN41</f>
        <v>0</v>
      </c>
      <c r="J41" s="77">
        <f>F41*G41</f>
        <v>0</v>
      </c>
      <c r="K41" s="77">
        <v>0</v>
      </c>
      <c r="L41" s="77">
        <f>F41*K41</f>
        <v>0</v>
      </c>
      <c r="M41" s="103" t="s">
        <v>35</v>
      </c>
      <c r="X41" s="77">
        <f>IF(AO41="5",BH41,0)</f>
        <v>0</v>
      </c>
      <c r="Z41" s="77">
        <f>IF(AO41="1",BF41,0)</f>
        <v>0</v>
      </c>
      <c r="AA41" s="77">
        <f>IF(AO41="1",BG41,0)</f>
        <v>0</v>
      </c>
      <c r="AB41" s="77">
        <f>IF(AO41="7",BF41,0)</f>
        <v>0</v>
      </c>
      <c r="AC41" s="77">
        <f>IF(AO41="7",BG41,0)</f>
        <v>0</v>
      </c>
      <c r="AD41" s="77">
        <f>IF(AO41="2",BF41,0)</f>
        <v>0</v>
      </c>
      <c r="AE41" s="77">
        <f>IF(AO41="2",BG41,0)</f>
        <v>0</v>
      </c>
      <c r="AF41" s="77">
        <f>IF(AO41="0",BH41,0)</f>
        <v>0</v>
      </c>
      <c r="AG41" s="71" t="s">
        <v>129</v>
      </c>
      <c r="AH41" s="77">
        <f>IF(AL41=0,J41,0)</f>
        <v>0</v>
      </c>
      <c r="AI41" s="77">
        <f>IF(AL41=15,J41,0)</f>
        <v>0</v>
      </c>
      <c r="AJ41" s="77">
        <f>IF(AL41=21,J41,0)</f>
        <v>0</v>
      </c>
      <c r="AL41" s="77">
        <v>15</v>
      </c>
      <c r="AM41" s="77">
        <f>G41*0</f>
        <v>0</v>
      </c>
      <c r="AN41" s="77">
        <f>G41*(1-0)</f>
        <v>0</v>
      </c>
      <c r="AO41" s="79" t="s">
        <v>132</v>
      </c>
      <c r="AT41" s="77">
        <f>AU41+AV41</f>
        <v>0</v>
      </c>
      <c r="AU41" s="77">
        <f>F41*AM41</f>
        <v>0</v>
      </c>
      <c r="AV41" s="77">
        <f>F41*AN41</f>
        <v>0</v>
      </c>
      <c r="AW41" s="79" t="s">
        <v>222</v>
      </c>
      <c r="AX41" s="79" t="s">
        <v>147</v>
      </c>
      <c r="AY41" s="71" t="s">
        <v>137</v>
      </c>
      <c r="BA41" s="77">
        <f>AU41+AV41</f>
        <v>0</v>
      </c>
      <c r="BB41" s="77">
        <f>G41/(100-BC41)*100</f>
        <v>0</v>
      </c>
      <c r="BC41" s="77">
        <v>0</v>
      </c>
      <c r="BD41" s="77">
        <f>L41</f>
        <v>0</v>
      </c>
      <c r="BF41" s="77">
        <f>F41*AM41</f>
        <v>0</v>
      </c>
      <c r="BG41" s="77">
        <f>F41*AN41</f>
        <v>0</v>
      </c>
      <c r="BH41" s="77">
        <f>F41*G41</f>
        <v>0</v>
      </c>
      <c r="BI41" s="77"/>
      <c r="BJ41" s="77">
        <v>16</v>
      </c>
      <c r="BU41" s="77" t="e">
        <f>#REF!</f>
        <v>#REF!</v>
      </c>
      <c r="BV41" s="70" t="s">
        <v>221</v>
      </c>
    </row>
    <row r="42" spans="1:74" ht="67.5" customHeight="1" x14ac:dyDescent="0.25">
      <c r="A42" s="104"/>
      <c r="B42" s="81" t="s">
        <v>138</v>
      </c>
      <c r="C42" s="303" t="s">
        <v>1022</v>
      </c>
      <c r="D42" s="304"/>
      <c r="E42" s="304"/>
      <c r="F42" s="304"/>
      <c r="G42" s="304"/>
      <c r="H42" s="304"/>
      <c r="I42" s="304"/>
      <c r="J42" s="304"/>
      <c r="K42" s="304"/>
      <c r="L42" s="304"/>
      <c r="M42" s="305"/>
    </row>
    <row r="43" spans="1:74" x14ac:dyDescent="0.25">
      <c r="A43" s="92" t="s">
        <v>200</v>
      </c>
      <c r="B43" s="69" t="s">
        <v>918</v>
      </c>
      <c r="C43" s="306" t="s">
        <v>230</v>
      </c>
      <c r="D43" s="307"/>
      <c r="E43" s="69" t="s">
        <v>177</v>
      </c>
      <c r="F43" s="77">
        <v>3.33</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15</v>
      </c>
      <c r="AM43" s="77">
        <f>G43*0</f>
        <v>0</v>
      </c>
      <c r="AN43" s="77">
        <f>G43*(1-0)</f>
        <v>0</v>
      </c>
      <c r="AO43" s="79" t="s">
        <v>132</v>
      </c>
      <c r="AT43" s="77">
        <f>AU43+AV43</f>
        <v>0</v>
      </c>
      <c r="AU43" s="77">
        <f>F43*AM43</f>
        <v>0</v>
      </c>
      <c r="AV43" s="77">
        <f>F43*AN43</f>
        <v>0</v>
      </c>
      <c r="AW43" s="79" t="s">
        <v>222</v>
      </c>
      <c r="AX43" s="79" t="s">
        <v>147</v>
      </c>
      <c r="AY43" s="71" t="s">
        <v>137</v>
      </c>
      <c r="BA43" s="77">
        <f>AU43+AV43</f>
        <v>0</v>
      </c>
      <c r="BB43" s="77">
        <f>G43/(100-BC43)*100</f>
        <v>0</v>
      </c>
      <c r="BC43" s="77">
        <v>0</v>
      </c>
      <c r="BD43" s="77">
        <f>L43</f>
        <v>0</v>
      </c>
      <c r="BF43" s="77">
        <f>F43*AM43</f>
        <v>0</v>
      </c>
      <c r="BG43" s="77">
        <f>F43*AN43</f>
        <v>0</v>
      </c>
      <c r="BH43" s="77">
        <f>F43*G43</f>
        <v>0</v>
      </c>
      <c r="BI43" s="77"/>
      <c r="BJ43" s="77">
        <v>16</v>
      </c>
      <c r="BU43" s="77" t="e">
        <f>#REF!</f>
        <v>#REF!</v>
      </c>
      <c r="BV43" s="70" t="s">
        <v>230</v>
      </c>
    </row>
    <row r="44" spans="1:74" ht="67.5" customHeight="1" x14ac:dyDescent="0.25">
      <c r="A44" s="104"/>
      <c r="B44" s="81" t="s">
        <v>138</v>
      </c>
      <c r="C44" s="303" t="s">
        <v>1023</v>
      </c>
      <c r="D44" s="304"/>
      <c r="E44" s="304"/>
      <c r="F44" s="304"/>
      <c r="G44" s="304"/>
      <c r="H44" s="304"/>
      <c r="I44" s="304"/>
      <c r="J44" s="304"/>
      <c r="K44" s="304"/>
      <c r="L44" s="304"/>
      <c r="M44" s="305"/>
    </row>
    <row r="45" spans="1:74" ht="25.5" x14ac:dyDescent="0.25">
      <c r="A45" s="92" t="s">
        <v>204</v>
      </c>
      <c r="B45" s="69" t="s">
        <v>840</v>
      </c>
      <c r="C45" s="306" t="s">
        <v>969</v>
      </c>
      <c r="D45" s="307"/>
      <c r="E45" s="69" t="s">
        <v>177</v>
      </c>
      <c r="F45" s="77">
        <v>13.34</v>
      </c>
      <c r="G45" s="218">
        <v>0</v>
      </c>
      <c r="H45" s="77">
        <f>F45*AM45</f>
        <v>0</v>
      </c>
      <c r="I45" s="77">
        <f>F45*AN45</f>
        <v>0</v>
      </c>
      <c r="J45" s="77">
        <f>F45*G45</f>
        <v>0</v>
      </c>
      <c r="K45" s="77">
        <v>0</v>
      </c>
      <c r="L45" s="77">
        <f>F45*K45</f>
        <v>0</v>
      </c>
      <c r="M45" s="103" t="s">
        <v>35</v>
      </c>
      <c r="X45" s="77">
        <f>IF(AO45="5",BH45,0)</f>
        <v>0</v>
      </c>
      <c r="Z45" s="77">
        <f>IF(AO45="1",BF45,0)</f>
        <v>0</v>
      </c>
      <c r="AA45" s="77">
        <f>IF(AO45="1",BG45,0)</f>
        <v>0</v>
      </c>
      <c r="AB45" s="77">
        <f>IF(AO45="7",BF45,0)</f>
        <v>0</v>
      </c>
      <c r="AC45" s="77">
        <f>IF(AO45="7",BG45,0)</f>
        <v>0</v>
      </c>
      <c r="AD45" s="77">
        <f>IF(AO45="2",BF45,0)</f>
        <v>0</v>
      </c>
      <c r="AE45" s="77">
        <f>IF(AO45="2",BG45,0)</f>
        <v>0</v>
      </c>
      <c r="AF45" s="77">
        <f>IF(AO45="0",BH45,0)</f>
        <v>0</v>
      </c>
      <c r="AG45" s="71" t="s">
        <v>129</v>
      </c>
      <c r="AH45" s="77">
        <f>IF(AL45=0,J45,0)</f>
        <v>0</v>
      </c>
      <c r="AI45" s="77">
        <f>IF(AL45=15,J45,0)</f>
        <v>0</v>
      </c>
      <c r="AJ45" s="77">
        <f>IF(AL45=21,J45,0)</f>
        <v>0</v>
      </c>
      <c r="AL45" s="77">
        <v>15</v>
      </c>
      <c r="AM45" s="77">
        <f>G45*0</f>
        <v>0</v>
      </c>
      <c r="AN45" s="77">
        <f>G45*(1-0)</f>
        <v>0</v>
      </c>
      <c r="AO45" s="79" t="s">
        <v>132</v>
      </c>
      <c r="AT45" s="77">
        <f>AU45+AV45</f>
        <v>0</v>
      </c>
      <c r="AU45" s="77">
        <f>F45*AM45</f>
        <v>0</v>
      </c>
      <c r="AV45" s="77">
        <f>F45*AN45</f>
        <v>0</v>
      </c>
      <c r="AW45" s="79" t="s">
        <v>222</v>
      </c>
      <c r="AX45" s="79" t="s">
        <v>147</v>
      </c>
      <c r="AY45" s="71" t="s">
        <v>137</v>
      </c>
      <c r="BA45" s="77">
        <f>AU45+AV45</f>
        <v>0</v>
      </c>
      <c r="BB45" s="77">
        <f>G45/(100-BC45)*100</f>
        <v>0</v>
      </c>
      <c r="BC45" s="77">
        <v>0</v>
      </c>
      <c r="BD45" s="77">
        <f>L45</f>
        <v>0</v>
      </c>
      <c r="BF45" s="77">
        <f>F45*AM45</f>
        <v>0</v>
      </c>
      <c r="BG45" s="77">
        <f>F45*AN45</f>
        <v>0</v>
      </c>
      <c r="BH45" s="77">
        <f>F45*G45</f>
        <v>0</v>
      </c>
      <c r="BI45" s="77"/>
      <c r="BJ45" s="77">
        <v>16</v>
      </c>
      <c r="BU45" s="77" t="e">
        <f>#REF!</f>
        <v>#REF!</v>
      </c>
      <c r="BV45" s="70" t="s">
        <v>969</v>
      </c>
    </row>
    <row r="46" spans="1:74" ht="40.5" customHeight="1" x14ac:dyDescent="0.25">
      <c r="A46" s="104"/>
      <c r="B46" s="81" t="s">
        <v>138</v>
      </c>
      <c r="C46" s="303" t="s">
        <v>1024</v>
      </c>
      <c r="D46" s="304"/>
      <c r="E46" s="304"/>
      <c r="F46" s="304"/>
      <c r="G46" s="304"/>
      <c r="H46" s="304"/>
      <c r="I46" s="304"/>
      <c r="J46" s="304"/>
      <c r="K46" s="304"/>
      <c r="L46" s="304"/>
      <c r="M46" s="305"/>
    </row>
    <row r="47" spans="1:74" ht="25.5" x14ac:dyDescent="0.25">
      <c r="A47" s="92" t="s">
        <v>209</v>
      </c>
      <c r="B47" s="69" t="s">
        <v>241</v>
      </c>
      <c r="C47" s="306" t="s">
        <v>242</v>
      </c>
      <c r="D47" s="307"/>
      <c r="E47" s="69" t="s">
        <v>177</v>
      </c>
      <c r="F47" s="77">
        <v>13.34</v>
      </c>
      <c r="G47" s="218">
        <v>0</v>
      </c>
      <c r="H47" s="77">
        <f>F47*AM47</f>
        <v>0</v>
      </c>
      <c r="I47" s="77">
        <f>F47*AN47</f>
        <v>0</v>
      </c>
      <c r="J47" s="77">
        <f>F47*G47</f>
        <v>0</v>
      </c>
      <c r="K47" s="77">
        <v>0</v>
      </c>
      <c r="L47" s="77">
        <f>F47*K47</f>
        <v>0</v>
      </c>
      <c r="M47" s="103" t="s">
        <v>35</v>
      </c>
      <c r="X47" s="77">
        <f>IF(AO47="5",BH47,0)</f>
        <v>0</v>
      </c>
      <c r="Z47" s="77">
        <f>IF(AO47="1",BF47,0)</f>
        <v>0</v>
      </c>
      <c r="AA47" s="77">
        <f>IF(AO47="1",BG47,0)</f>
        <v>0</v>
      </c>
      <c r="AB47" s="77">
        <f>IF(AO47="7",BF47,0)</f>
        <v>0</v>
      </c>
      <c r="AC47" s="77">
        <f>IF(AO47="7",BG47,0)</f>
        <v>0</v>
      </c>
      <c r="AD47" s="77">
        <f>IF(AO47="2",BF47,0)</f>
        <v>0</v>
      </c>
      <c r="AE47" s="77">
        <f>IF(AO47="2",BG47,0)</f>
        <v>0</v>
      </c>
      <c r="AF47" s="77">
        <f>IF(AO47="0",BH47,0)</f>
        <v>0</v>
      </c>
      <c r="AG47" s="71" t="s">
        <v>129</v>
      </c>
      <c r="AH47" s="77">
        <f>IF(AL47=0,J47,0)</f>
        <v>0</v>
      </c>
      <c r="AI47" s="77">
        <f>IF(AL47=15,J47,0)</f>
        <v>0</v>
      </c>
      <c r="AJ47" s="77">
        <f>IF(AL47=21,J47,0)</f>
        <v>0</v>
      </c>
      <c r="AL47" s="77">
        <v>15</v>
      </c>
      <c r="AM47" s="77">
        <f>G47*0</f>
        <v>0</v>
      </c>
      <c r="AN47" s="77">
        <f>G47*(1-0)</f>
        <v>0</v>
      </c>
      <c r="AO47" s="79" t="s">
        <v>132</v>
      </c>
      <c r="AT47" s="77">
        <f>AU47+AV47</f>
        <v>0</v>
      </c>
      <c r="AU47" s="77">
        <f>F47*AM47</f>
        <v>0</v>
      </c>
      <c r="AV47" s="77">
        <f>F47*AN47</f>
        <v>0</v>
      </c>
      <c r="AW47" s="79" t="s">
        <v>222</v>
      </c>
      <c r="AX47" s="79" t="s">
        <v>147</v>
      </c>
      <c r="AY47" s="71" t="s">
        <v>137</v>
      </c>
      <c r="BA47" s="77">
        <f>AU47+AV47</f>
        <v>0</v>
      </c>
      <c r="BB47" s="77">
        <f>G47/(100-BC47)*100</f>
        <v>0</v>
      </c>
      <c r="BC47" s="77">
        <v>0</v>
      </c>
      <c r="BD47" s="77">
        <f>L47</f>
        <v>0</v>
      </c>
      <c r="BF47" s="77">
        <f>F47*AM47</f>
        <v>0</v>
      </c>
      <c r="BG47" s="77">
        <f>F47*AN47</f>
        <v>0</v>
      </c>
      <c r="BH47" s="77">
        <f>F47*G47</f>
        <v>0</v>
      </c>
      <c r="BI47" s="77"/>
      <c r="BJ47" s="77">
        <v>16</v>
      </c>
      <c r="BU47" s="77" t="e">
        <f>#REF!</f>
        <v>#REF!</v>
      </c>
      <c r="BV47" s="70" t="s">
        <v>242</v>
      </c>
    </row>
    <row r="48" spans="1:74" ht="40.5" customHeight="1" x14ac:dyDescent="0.25">
      <c r="A48" s="104"/>
      <c r="B48" s="81" t="s">
        <v>138</v>
      </c>
      <c r="C48" s="303" t="s">
        <v>1025</v>
      </c>
      <c r="D48" s="304"/>
      <c r="E48" s="304"/>
      <c r="F48" s="304"/>
      <c r="G48" s="304"/>
      <c r="H48" s="304"/>
      <c r="I48" s="304"/>
      <c r="J48" s="304"/>
      <c r="K48" s="304"/>
      <c r="L48" s="304"/>
      <c r="M48" s="305"/>
    </row>
    <row r="49" spans="1:74" x14ac:dyDescent="0.25">
      <c r="A49" s="105" t="s">
        <v>129</v>
      </c>
      <c r="B49" s="74" t="s">
        <v>214</v>
      </c>
      <c r="C49" s="314" t="s">
        <v>244</v>
      </c>
      <c r="D49" s="315"/>
      <c r="E49" s="75" t="s">
        <v>87</v>
      </c>
      <c r="F49" s="75" t="s">
        <v>87</v>
      </c>
      <c r="G49" s="75" t="s">
        <v>87</v>
      </c>
      <c r="H49" s="67">
        <f>SUM(H50:H54)</f>
        <v>0</v>
      </c>
      <c r="I49" s="67">
        <f>SUM(I50:I54)</f>
        <v>0</v>
      </c>
      <c r="J49" s="67">
        <f>SUM(J50:J54)</f>
        <v>0</v>
      </c>
      <c r="K49" s="71" t="s">
        <v>129</v>
      </c>
      <c r="L49" s="67">
        <f>SUM(L50:L54)</f>
        <v>4.6580000000000004</v>
      </c>
      <c r="M49" s="106" t="s">
        <v>129</v>
      </c>
      <c r="AG49" s="71" t="s">
        <v>129</v>
      </c>
      <c r="AQ49" s="67">
        <f>SUM(AH50:AH54)</f>
        <v>0</v>
      </c>
      <c r="AR49" s="67">
        <f>SUM(AI50:AI54)</f>
        <v>0</v>
      </c>
      <c r="AS49" s="67">
        <f>SUM(AJ50:AJ54)</f>
        <v>0</v>
      </c>
    </row>
    <row r="50" spans="1:74" x14ac:dyDescent="0.25">
      <c r="A50" s="92" t="s">
        <v>214</v>
      </c>
      <c r="B50" s="69" t="s">
        <v>246</v>
      </c>
      <c r="C50" s="306" t="s">
        <v>247</v>
      </c>
      <c r="D50" s="307"/>
      <c r="E50" s="69" t="s">
        <v>177</v>
      </c>
      <c r="F50" s="77">
        <v>2.74</v>
      </c>
      <c r="G50" s="218">
        <v>0</v>
      </c>
      <c r="H50" s="77">
        <f>F50*AM50</f>
        <v>0</v>
      </c>
      <c r="I50" s="77">
        <f>F50*AN50</f>
        <v>0</v>
      </c>
      <c r="J50" s="77">
        <f>F50*G50</f>
        <v>0</v>
      </c>
      <c r="K50" s="77">
        <v>1.7</v>
      </c>
      <c r="L50" s="77">
        <f>F50*K50</f>
        <v>4.6580000000000004</v>
      </c>
      <c r="M50" s="103" t="s">
        <v>35</v>
      </c>
      <c r="X50" s="77">
        <f>IF(AO50="5",BH50,0)</f>
        <v>0</v>
      </c>
      <c r="Z50" s="77">
        <f>IF(AO50="1",BF50,0)</f>
        <v>0</v>
      </c>
      <c r="AA50" s="77">
        <f>IF(AO50="1",BG50,0)</f>
        <v>0</v>
      </c>
      <c r="AB50" s="77">
        <f>IF(AO50="7",BF50,0)</f>
        <v>0</v>
      </c>
      <c r="AC50" s="77">
        <f>IF(AO50="7",BG50,0)</f>
        <v>0</v>
      </c>
      <c r="AD50" s="77">
        <f>IF(AO50="2",BF50,0)</f>
        <v>0</v>
      </c>
      <c r="AE50" s="77">
        <f>IF(AO50="2",BG50,0)</f>
        <v>0</v>
      </c>
      <c r="AF50" s="77">
        <f>IF(AO50="0",BH50,0)</f>
        <v>0</v>
      </c>
      <c r="AG50" s="71" t="s">
        <v>129</v>
      </c>
      <c r="AH50" s="77">
        <f>IF(AL50=0,J50,0)</f>
        <v>0</v>
      </c>
      <c r="AI50" s="77">
        <f>IF(AL50=15,J50,0)</f>
        <v>0</v>
      </c>
      <c r="AJ50" s="77">
        <f>IF(AL50=21,J50,0)</f>
        <v>0</v>
      </c>
      <c r="AL50" s="77">
        <v>15</v>
      </c>
      <c r="AM50" s="77">
        <f>G50*0.512969706</f>
        <v>0</v>
      </c>
      <c r="AN50" s="77">
        <f>G50*(1-0.512969706)</f>
        <v>0</v>
      </c>
      <c r="AO50" s="79" t="s">
        <v>132</v>
      </c>
      <c r="AT50" s="77">
        <f>AU50+AV50</f>
        <v>0</v>
      </c>
      <c r="AU50" s="77">
        <f>F50*AM50</f>
        <v>0</v>
      </c>
      <c r="AV50" s="77">
        <f>F50*AN50</f>
        <v>0</v>
      </c>
      <c r="AW50" s="79" t="s">
        <v>248</v>
      </c>
      <c r="AX50" s="79" t="s">
        <v>147</v>
      </c>
      <c r="AY50" s="71" t="s">
        <v>137</v>
      </c>
      <c r="BA50" s="77">
        <f>AU50+AV50</f>
        <v>0</v>
      </c>
      <c r="BB50" s="77">
        <f>G50/(100-BC50)*100</f>
        <v>0</v>
      </c>
      <c r="BC50" s="77">
        <v>0</v>
      </c>
      <c r="BD50" s="77">
        <f>L50</f>
        <v>4.6580000000000004</v>
      </c>
      <c r="BF50" s="77">
        <f>F50*AM50</f>
        <v>0</v>
      </c>
      <c r="BG50" s="77">
        <f>F50*AN50</f>
        <v>0</v>
      </c>
      <c r="BH50" s="77">
        <f>F50*G50</f>
        <v>0</v>
      </c>
      <c r="BI50" s="77"/>
      <c r="BJ50" s="77">
        <v>17</v>
      </c>
      <c r="BU50" s="77" t="e">
        <f>#REF!</f>
        <v>#REF!</v>
      </c>
      <c r="BV50" s="70" t="s">
        <v>247</v>
      </c>
    </row>
    <row r="51" spans="1:74" ht="54" customHeight="1" x14ac:dyDescent="0.25">
      <c r="A51" s="104"/>
      <c r="B51" s="81" t="s">
        <v>138</v>
      </c>
      <c r="C51" s="303" t="s">
        <v>1026</v>
      </c>
      <c r="D51" s="304"/>
      <c r="E51" s="304"/>
      <c r="F51" s="304"/>
      <c r="G51" s="304"/>
      <c r="H51" s="304"/>
      <c r="I51" s="304"/>
      <c r="J51" s="304"/>
      <c r="K51" s="304"/>
      <c r="L51" s="304"/>
      <c r="M51" s="305"/>
    </row>
    <row r="52" spans="1:74" x14ac:dyDescent="0.25">
      <c r="A52" s="92" t="s">
        <v>219</v>
      </c>
      <c r="B52" s="69" t="s">
        <v>251</v>
      </c>
      <c r="C52" s="306" t="s">
        <v>252</v>
      </c>
      <c r="D52" s="307"/>
      <c r="E52" s="69" t="s">
        <v>177</v>
      </c>
      <c r="F52" s="77">
        <v>2.74</v>
      </c>
      <c r="G52" s="218">
        <v>0</v>
      </c>
      <c r="H52" s="77">
        <f>F52*AM52</f>
        <v>0</v>
      </c>
      <c r="I52" s="77">
        <f>F52*AN52</f>
        <v>0</v>
      </c>
      <c r="J52" s="77">
        <f>F52*G52</f>
        <v>0</v>
      </c>
      <c r="K52" s="77">
        <v>0</v>
      </c>
      <c r="L52" s="77">
        <f>F52*K52</f>
        <v>0</v>
      </c>
      <c r="M52" s="103"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15</v>
      </c>
      <c r="AM52" s="77">
        <f>G52*0</f>
        <v>0</v>
      </c>
      <c r="AN52" s="77">
        <f>G52*(1-0)</f>
        <v>0</v>
      </c>
      <c r="AO52" s="79" t="s">
        <v>132</v>
      </c>
      <c r="AT52" s="77">
        <f>AU52+AV52</f>
        <v>0</v>
      </c>
      <c r="AU52" s="77">
        <f>F52*AM52</f>
        <v>0</v>
      </c>
      <c r="AV52" s="77">
        <f>F52*AN52</f>
        <v>0</v>
      </c>
      <c r="AW52" s="79" t="s">
        <v>248</v>
      </c>
      <c r="AX52" s="79" t="s">
        <v>147</v>
      </c>
      <c r="AY52" s="71" t="s">
        <v>137</v>
      </c>
      <c r="BA52" s="77">
        <f>AU52+AV52</f>
        <v>0</v>
      </c>
      <c r="BB52" s="77">
        <f>G52/(100-BC52)*100</f>
        <v>0</v>
      </c>
      <c r="BC52" s="77">
        <v>0</v>
      </c>
      <c r="BD52" s="77">
        <f>L52</f>
        <v>0</v>
      </c>
      <c r="BF52" s="77">
        <f>F52*AM52</f>
        <v>0</v>
      </c>
      <c r="BG52" s="77">
        <f>F52*AN52</f>
        <v>0</v>
      </c>
      <c r="BH52" s="77">
        <f>F52*G52</f>
        <v>0</v>
      </c>
      <c r="BI52" s="77"/>
      <c r="BJ52" s="77">
        <v>17</v>
      </c>
      <c r="BU52" s="77" t="e">
        <f>#REF!</f>
        <v>#REF!</v>
      </c>
      <c r="BV52" s="70" t="s">
        <v>252</v>
      </c>
    </row>
    <row r="53" spans="1:74" ht="40.5" customHeight="1" thickBot="1" x14ac:dyDescent="0.3">
      <c r="A53" s="107"/>
      <c r="B53" s="108" t="s">
        <v>138</v>
      </c>
      <c r="C53" s="308" t="s">
        <v>1027</v>
      </c>
      <c r="D53" s="309"/>
      <c r="E53" s="309"/>
      <c r="F53" s="309"/>
      <c r="G53" s="309"/>
      <c r="H53" s="309"/>
      <c r="I53" s="309"/>
      <c r="J53" s="309"/>
      <c r="K53" s="309"/>
      <c r="L53" s="309"/>
      <c r="M53" s="310"/>
    </row>
    <row r="54" spans="1:74" x14ac:dyDescent="0.25">
      <c r="A54" s="122" t="s">
        <v>224</v>
      </c>
      <c r="B54" s="109" t="s">
        <v>254</v>
      </c>
      <c r="C54" s="312" t="s">
        <v>255</v>
      </c>
      <c r="D54" s="313"/>
      <c r="E54" s="109" t="s">
        <v>177</v>
      </c>
      <c r="F54" s="123">
        <v>6.67</v>
      </c>
      <c r="G54" s="219">
        <v>0</v>
      </c>
      <c r="H54" s="123">
        <f>F54*AM54</f>
        <v>0</v>
      </c>
      <c r="I54" s="123">
        <f>F54*AN54</f>
        <v>0</v>
      </c>
      <c r="J54" s="123">
        <f>F54*G54</f>
        <v>0</v>
      </c>
      <c r="K54" s="123">
        <v>0</v>
      </c>
      <c r="L54" s="123">
        <f>F54*K54</f>
        <v>0</v>
      </c>
      <c r="M54" s="124"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f>
        <v>0</v>
      </c>
      <c r="AN54" s="77">
        <f>G54*(1-0)</f>
        <v>0</v>
      </c>
      <c r="AO54" s="79" t="s">
        <v>132</v>
      </c>
      <c r="AT54" s="77">
        <f>AU54+AV54</f>
        <v>0</v>
      </c>
      <c r="AU54" s="77">
        <f>F54*AM54</f>
        <v>0</v>
      </c>
      <c r="AV54" s="77">
        <f>F54*AN54</f>
        <v>0</v>
      </c>
      <c r="AW54" s="79" t="s">
        <v>248</v>
      </c>
      <c r="AX54" s="79" t="s">
        <v>147</v>
      </c>
      <c r="AY54" s="71" t="s">
        <v>137</v>
      </c>
      <c r="BA54" s="77">
        <f>AU54+AV54</f>
        <v>0</v>
      </c>
      <c r="BB54" s="77">
        <f>G54/(100-BC54)*100</f>
        <v>0</v>
      </c>
      <c r="BC54" s="77">
        <v>0</v>
      </c>
      <c r="BD54" s="77">
        <f>L54</f>
        <v>0</v>
      </c>
      <c r="BF54" s="77">
        <f>F54*AM54</f>
        <v>0</v>
      </c>
      <c r="BG54" s="77">
        <f>F54*AN54</f>
        <v>0</v>
      </c>
      <c r="BH54" s="77">
        <f>F54*G54</f>
        <v>0</v>
      </c>
      <c r="BI54" s="77"/>
      <c r="BJ54" s="77">
        <v>17</v>
      </c>
      <c r="BU54" s="77" t="e">
        <f>#REF!</f>
        <v>#REF!</v>
      </c>
      <c r="BV54" s="70" t="s">
        <v>255</v>
      </c>
    </row>
    <row r="55" spans="1:74" ht="94.5" customHeight="1" x14ac:dyDescent="0.25">
      <c r="A55" s="104"/>
      <c r="B55" s="81" t="s">
        <v>138</v>
      </c>
      <c r="C55" s="303" t="s">
        <v>1028</v>
      </c>
      <c r="D55" s="304"/>
      <c r="E55" s="304"/>
      <c r="F55" s="304"/>
      <c r="G55" s="304"/>
      <c r="H55" s="304"/>
      <c r="I55" s="304"/>
      <c r="J55" s="304"/>
      <c r="K55" s="304"/>
      <c r="L55" s="304"/>
      <c r="M55" s="305"/>
    </row>
    <row r="56" spans="1:74" x14ac:dyDescent="0.25">
      <c r="A56" s="105" t="s">
        <v>129</v>
      </c>
      <c r="B56" s="74" t="s">
        <v>224</v>
      </c>
      <c r="C56" s="314" t="s">
        <v>257</v>
      </c>
      <c r="D56" s="315"/>
      <c r="E56" s="75" t="s">
        <v>87</v>
      </c>
      <c r="F56" s="75" t="s">
        <v>87</v>
      </c>
      <c r="G56" s="75" t="s">
        <v>87</v>
      </c>
      <c r="H56" s="67">
        <f>SUM(H57:H57)</f>
        <v>0</v>
      </c>
      <c r="I56" s="67">
        <f>SUM(I57:I57)</f>
        <v>0</v>
      </c>
      <c r="J56" s="67">
        <f>SUM(J57:J57)</f>
        <v>0</v>
      </c>
      <c r="K56" s="71" t="s">
        <v>129</v>
      </c>
      <c r="L56" s="67">
        <f>SUM(L57:L57)</f>
        <v>0</v>
      </c>
      <c r="M56" s="106" t="s">
        <v>129</v>
      </c>
      <c r="AG56" s="71" t="s">
        <v>129</v>
      </c>
      <c r="AQ56" s="67">
        <f>SUM(AH57:AH57)</f>
        <v>0</v>
      </c>
      <c r="AR56" s="67">
        <f>SUM(AI57:AI57)</f>
        <v>0</v>
      </c>
      <c r="AS56" s="67">
        <f>SUM(AJ57:AJ57)</f>
        <v>0</v>
      </c>
    </row>
    <row r="57" spans="1:74" x14ac:dyDescent="0.25">
      <c r="A57" s="92" t="s">
        <v>228</v>
      </c>
      <c r="B57" s="69" t="s">
        <v>259</v>
      </c>
      <c r="C57" s="306" t="s">
        <v>260</v>
      </c>
      <c r="D57" s="307"/>
      <c r="E57" s="69" t="s">
        <v>177</v>
      </c>
      <c r="F57" s="77">
        <v>3.33</v>
      </c>
      <c r="G57" s="218">
        <v>0</v>
      </c>
      <c r="H57" s="77">
        <f>F57*AM57</f>
        <v>0</v>
      </c>
      <c r="I57" s="77">
        <f>F57*AN57</f>
        <v>0</v>
      </c>
      <c r="J57" s="77">
        <f>F57*G57</f>
        <v>0</v>
      </c>
      <c r="K57" s="77">
        <v>0</v>
      </c>
      <c r="L57" s="77">
        <f>F57*K57</f>
        <v>0</v>
      </c>
      <c r="M57" s="103" t="s">
        <v>35</v>
      </c>
      <c r="X57" s="77">
        <f>IF(AO57="5",BH57,0)</f>
        <v>0</v>
      </c>
      <c r="Z57" s="77">
        <f>IF(AO57="1",BF57,0)</f>
        <v>0</v>
      </c>
      <c r="AA57" s="77">
        <f>IF(AO57="1",BG57,0)</f>
        <v>0</v>
      </c>
      <c r="AB57" s="77">
        <f>IF(AO57="7",BF57,0)</f>
        <v>0</v>
      </c>
      <c r="AC57" s="77">
        <f>IF(AO57="7",BG57,0)</f>
        <v>0</v>
      </c>
      <c r="AD57" s="77">
        <f>IF(AO57="2",BF57,0)</f>
        <v>0</v>
      </c>
      <c r="AE57" s="77">
        <f>IF(AO57="2",BG57,0)</f>
        <v>0</v>
      </c>
      <c r="AF57" s="77">
        <f>IF(AO57="0",BH57,0)</f>
        <v>0</v>
      </c>
      <c r="AG57" s="71" t="s">
        <v>129</v>
      </c>
      <c r="AH57" s="77">
        <f>IF(AL57=0,J57,0)</f>
        <v>0</v>
      </c>
      <c r="AI57" s="77">
        <f>IF(AL57=15,J57,0)</f>
        <v>0</v>
      </c>
      <c r="AJ57" s="77">
        <f>IF(AL57=21,J57,0)</f>
        <v>0</v>
      </c>
      <c r="AL57" s="77">
        <v>15</v>
      </c>
      <c r="AM57" s="77">
        <f>G57*0</f>
        <v>0</v>
      </c>
      <c r="AN57" s="77">
        <f>G57*(1-0)</f>
        <v>0</v>
      </c>
      <c r="AO57" s="79" t="s">
        <v>132</v>
      </c>
      <c r="AT57" s="77">
        <f>AU57+AV57</f>
        <v>0</v>
      </c>
      <c r="AU57" s="77">
        <f>F57*AM57</f>
        <v>0</v>
      </c>
      <c r="AV57" s="77">
        <f>F57*AN57</f>
        <v>0</v>
      </c>
      <c r="AW57" s="79" t="s">
        <v>261</v>
      </c>
      <c r="AX57" s="79" t="s">
        <v>147</v>
      </c>
      <c r="AY57" s="71" t="s">
        <v>137</v>
      </c>
      <c r="BA57" s="77">
        <f>AU57+AV57</f>
        <v>0</v>
      </c>
      <c r="BB57" s="77">
        <f>G57/(100-BC57)*100</f>
        <v>0</v>
      </c>
      <c r="BC57" s="77">
        <v>0</v>
      </c>
      <c r="BD57" s="77">
        <f>L57</f>
        <v>0</v>
      </c>
      <c r="BF57" s="77">
        <f>F57*AM57</f>
        <v>0</v>
      </c>
      <c r="BG57" s="77">
        <f>F57*AN57</f>
        <v>0</v>
      </c>
      <c r="BH57" s="77">
        <f>F57*G57</f>
        <v>0</v>
      </c>
      <c r="BI57" s="77"/>
      <c r="BJ57" s="77">
        <v>19</v>
      </c>
      <c r="BU57" s="77" t="e">
        <f>#REF!</f>
        <v>#REF!</v>
      </c>
      <c r="BV57" s="70" t="s">
        <v>260</v>
      </c>
    </row>
    <row r="58" spans="1:74" ht="13.5" customHeight="1" x14ac:dyDescent="0.25">
      <c r="A58" s="104"/>
      <c r="B58" s="81" t="s">
        <v>138</v>
      </c>
      <c r="C58" s="303" t="s">
        <v>515</v>
      </c>
      <c r="D58" s="304"/>
      <c r="E58" s="304"/>
      <c r="F58" s="304"/>
      <c r="G58" s="304"/>
      <c r="H58" s="304"/>
      <c r="I58" s="304"/>
      <c r="J58" s="304"/>
      <c r="K58" s="304"/>
      <c r="L58" s="304"/>
      <c r="M58" s="305"/>
    </row>
    <row r="59" spans="1:74" x14ac:dyDescent="0.25">
      <c r="A59" s="105" t="s">
        <v>129</v>
      </c>
      <c r="B59" s="74" t="s">
        <v>232</v>
      </c>
      <c r="C59" s="314" t="s">
        <v>267</v>
      </c>
      <c r="D59" s="315"/>
      <c r="E59" s="75" t="s">
        <v>87</v>
      </c>
      <c r="F59" s="75" t="s">
        <v>87</v>
      </c>
      <c r="G59" s="75" t="s">
        <v>87</v>
      </c>
      <c r="H59" s="67">
        <f>SUM(H60:H60)</f>
        <v>0</v>
      </c>
      <c r="I59" s="67">
        <f>SUM(I60:I60)</f>
        <v>0</v>
      </c>
      <c r="J59" s="67">
        <f>SUM(J60:J60)</f>
        <v>0</v>
      </c>
      <c r="K59" s="71" t="s">
        <v>129</v>
      </c>
      <c r="L59" s="67">
        <f>SUM(L60:L60)</f>
        <v>0</v>
      </c>
      <c r="M59" s="106" t="s">
        <v>129</v>
      </c>
      <c r="AG59" s="71" t="s">
        <v>129</v>
      </c>
      <c r="AQ59" s="67">
        <f>SUM(AH60:AH60)</f>
        <v>0</v>
      </c>
      <c r="AR59" s="67">
        <f>SUM(AI60:AI60)</f>
        <v>0</v>
      </c>
      <c r="AS59" s="67">
        <f>SUM(AJ60:AJ60)</f>
        <v>0</v>
      </c>
    </row>
    <row r="60" spans="1:74" x14ac:dyDescent="0.25">
      <c r="A60" s="92" t="s">
        <v>232</v>
      </c>
      <c r="B60" s="69" t="s">
        <v>927</v>
      </c>
      <c r="C60" s="306" t="s">
        <v>270</v>
      </c>
      <c r="D60" s="307"/>
      <c r="E60" s="69" t="s">
        <v>166</v>
      </c>
      <c r="F60" s="77">
        <v>5.28</v>
      </c>
      <c r="G60" s="218">
        <v>0</v>
      </c>
      <c r="H60" s="77">
        <f>F60*AM60</f>
        <v>0</v>
      </c>
      <c r="I60" s="77">
        <f>F60*AN60</f>
        <v>0</v>
      </c>
      <c r="J60" s="77">
        <f>F60*G60</f>
        <v>0</v>
      </c>
      <c r="K60" s="77">
        <v>0</v>
      </c>
      <c r="L60" s="77">
        <f>F60*K60</f>
        <v>0</v>
      </c>
      <c r="M60" s="103" t="s">
        <v>35</v>
      </c>
      <c r="X60" s="77">
        <f>IF(AO60="5",BH60,0)</f>
        <v>0</v>
      </c>
      <c r="Z60" s="77">
        <f>IF(AO60="1",BF60,0)</f>
        <v>0</v>
      </c>
      <c r="AA60" s="77">
        <f>IF(AO60="1",BG60,0)</f>
        <v>0</v>
      </c>
      <c r="AB60" s="77">
        <f>IF(AO60="7",BF60,0)</f>
        <v>0</v>
      </c>
      <c r="AC60" s="77">
        <f>IF(AO60="7",BG60,0)</f>
        <v>0</v>
      </c>
      <c r="AD60" s="77">
        <f>IF(AO60="2",BF60,0)</f>
        <v>0</v>
      </c>
      <c r="AE60" s="77">
        <f>IF(AO60="2",BG60,0)</f>
        <v>0</v>
      </c>
      <c r="AF60" s="77">
        <f>IF(AO60="0",BH60,0)</f>
        <v>0</v>
      </c>
      <c r="AG60" s="71" t="s">
        <v>129</v>
      </c>
      <c r="AH60" s="77">
        <f>IF(AL60=0,J60,0)</f>
        <v>0</v>
      </c>
      <c r="AI60" s="77">
        <f>IF(AL60=15,J60,0)</f>
        <v>0</v>
      </c>
      <c r="AJ60" s="77">
        <f>IF(AL60=21,J60,0)</f>
        <v>0</v>
      </c>
      <c r="AL60" s="77">
        <v>15</v>
      </c>
      <c r="AM60" s="77">
        <f>G60*0</f>
        <v>0</v>
      </c>
      <c r="AN60" s="77">
        <f>G60*(1-0)</f>
        <v>0</v>
      </c>
      <c r="AO60" s="79" t="s">
        <v>132</v>
      </c>
      <c r="AT60" s="77">
        <f>AU60+AV60</f>
        <v>0</v>
      </c>
      <c r="AU60" s="77">
        <f>F60*AM60</f>
        <v>0</v>
      </c>
      <c r="AV60" s="77">
        <f>F60*AN60</f>
        <v>0</v>
      </c>
      <c r="AW60" s="79" t="s">
        <v>271</v>
      </c>
      <c r="AX60" s="79" t="s">
        <v>272</v>
      </c>
      <c r="AY60" s="71" t="s">
        <v>137</v>
      </c>
      <c r="BA60" s="77">
        <f>AU60+AV60</f>
        <v>0</v>
      </c>
      <c r="BB60" s="77">
        <f>G60/(100-BC60)*100</f>
        <v>0</v>
      </c>
      <c r="BC60" s="77">
        <v>0</v>
      </c>
      <c r="BD60" s="77">
        <f>L60</f>
        <v>0</v>
      </c>
      <c r="BF60" s="77">
        <f>F60*AM60</f>
        <v>0</v>
      </c>
      <c r="BG60" s="77">
        <f>F60*AN60</f>
        <v>0</v>
      </c>
      <c r="BH60" s="77">
        <f>F60*G60</f>
        <v>0</v>
      </c>
      <c r="BI60" s="77"/>
      <c r="BJ60" s="77">
        <v>21</v>
      </c>
      <c r="BU60" s="77" t="e">
        <f>#REF!</f>
        <v>#REF!</v>
      </c>
      <c r="BV60" s="70" t="s">
        <v>270</v>
      </c>
    </row>
    <row r="61" spans="1:74" ht="40.5" customHeight="1" x14ac:dyDescent="0.25">
      <c r="A61" s="104"/>
      <c r="B61" s="81" t="s">
        <v>138</v>
      </c>
      <c r="C61" s="303" t="s">
        <v>1006</v>
      </c>
      <c r="D61" s="304"/>
      <c r="E61" s="304"/>
      <c r="F61" s="304"/>
      <c r="G61" s="304"/>
      <c r="H61" s="304"/>
      <c r="I61" s="304"/>
      <c r="J61" s="304"/>
      <c r="K61" s="304"/>
      <c r="L61" s="304"/>
      <c r="M61" s="305"/>
    </row>
    <row r="62" spans="1:74" x14ac:dyDescent="0.25">
      <c r="A62" s="105" t="s">
        <v>129</v>
      </c>
      <c r="B62" s="74" t="s">
        <v>288</v>
      </c>
      <c r="C62" s="314" t="s">
        <v>289</v>
      </c>
      <c r="D62" s="315"/>
      <c r="E62" s="75" t="s">
        <v>87</v>
      </c>
      <c r="F62" s="75" t="s">
        <v>87</v>
      </c>
      <c r="G62" s="75" t="s">
        <v>87</v>
      </c>
      <c r="H62" s="67">
        <f>SUM(H63:H63)</f>
        <v>0</v>
      </c>
      <c r="I62" s="67">
        <f>SUM(I63:I63)</f>
        <v>0</v>
      </c>
      <c r="J62" s="67">
        <f>SUM(J63:J63)</f>
        <v>0</v>
      </c>
      <c r="K62" s="71" t="s">
        <v>129</v>
      </c>
      <c r="L62" s="67">
        <f>SUM(L63:L63)</f>
        <v>1.4937083000000002</v>
      </c>
      <c r="M62" s="106" t="s">
        <v>129</v>
      </c>
      <c r="AG62" s="71" t="s">
        <v>129</v>
      </c>
      <c r="AQ62" s="67">
        <f>SUM(AH63:AH63)</f>
        <v>0</v>
      </c>
      <c r="AR62" s="67">
        <f>SUM(AI63:AI63)</f>
        <v>0</v>
      </c>
      <c r="AS62" s="67">
        <f>SUM(AJ63:AJ63)</f>
        <v>0</v>
      </c>
    </row>
    <row r="63" spans="1:74" x14ac:dyDescent="0.25">
      <c r="A63" s="92" t="s">
        <v>236</v>
      </c>
      <c r="B63" s="69" t="s">
        <v>291</v>
      </c>
      <c r="C63" s="306" t="s">
        <v>524</v>
      </c>
      <c r="D63" s="307"/>
      <c r="E63" s="69" t="s">
        <v>177</v>
      </c>
      <c r="F63" s="77">
        <v>0.79</v>
      </c>
      <c r="G63" s="218">
        <v>0</v>
      </c>
      <c r="H63" s="77">
        <f>F63*AM63</f>
        <v>0</v>
      </c>
      <c r="I63" s="77">
        <f>F63*AN63</f>
        <v>0</v>
      </c>
      <c r="J63" s="77">
        <f>F63*G63</f>
        <v>0</v>
      </c>
      <c r="K63" s="77">
        <v>1.8907700000000001</v>
      </c>
      <c r="L63" s="77">
        <f>F63*K63</f>
        <v>1.4937083000000002</v>
      </c>
      <c r="M63" s="103" t="s">
        <v>35</v>
      </c>
      <c r="X63" s="77">
        <f>IF(AO63="5",BH63,0)</f>
        <v>0</v>
      </c>
      <c r="Z63" s="77">
        <f>IF(AO63="1",BF63,0)</f>
        <v>0</v>
      </c>
      <c r="AA63" s="77">
        <f>IF(AO63="1",BG63,0)</f>
        <v>0</v>
      </c>
      <c r="AB63" s="77">
        <f>IF(AO63="7",BF63,0)</f>
        <v>0</v>
      </c>
      <c r="AC63" s="77">
        <f>IF(AO63="7",BG63,0)</f>
        <v>0</v>
      </c>
      <c r="AD63" s="77">
        <f>IF(AO63="2",BF63,0)</f>
        <v>0</v>
      </c>
      <c r="AE63" s="77">
        <f>IF(AO63="2",BG63,0)</f>
        <v>0</v>
      </c>
      <c r="AF63" s="77">
        <f>IF(AO63="0",BH63,0)</f>
        <v>0</v>
      </c>
      <c r="AG63" s="71" t="s">
        <v>129</v>
      </c>
      <c r="AH63" s="77">
        <f>IF(AL63=0,J63,0)</f>
        <v>0</v>
      </c>
      <c r="AI63" s="77">
        <f>IF(AL63=15,J63,0)</f>
        <v>0</v>
      </c>
      <c r="AJ63" s="77">
        <f>IF(AL63=21,J63,0)</f>
        <v>0</v>
      </c>
      <c r="AL63" s="77">
        <v>15</v>
      </c>
      <c r="AM63" s="77">
        <f>G63*0.487561495</f>
        <v>0</v>
      </c>
      <c r="AN63" s="77">
        <f>G63*(1-0.487561495)</f>
        <v>0</v>
      </c>
      <c r="AO63" s="79" t="s">
        <v>132</v>
      </c>
      <c r="AT63" s="77">
        <f>AU63+AV63</f>
        <v>0</v>
      </c>
      <c r="AU63" s="77">
        <f>F63*AM63</f>
        <v>0</v>
      </c>
      <c r="AV63" s="77">
        <f>F63*AN63</f>
        <v>0</v>
      </c>
      <c r="AW63" s="79" t="s">
        <v>293</v>
      </c>
      <c r="AX63" s="79" t="s">
        <v>294</v>
      </c>
      <c r="AY63" s="71" t="s">
        <v>137</v>
      </c>
      <c r="BA63" s="77">
        <f>AU63+AV63</f>
        <v>0</v>
      </c>
      <c r="BB63" s="77">
        <f>G63/(100-BC63)*100</f>
        <v>0</v>
      </c>
      <c r="BC63" s="77">
        <v>0</v>
      </c>
      <c r="BD63" s="77">
        <f>L63</f>
        <v>1.4937083000000002</v>
      </c>
      <c r="BF63" s="77">
        <f>F63*AM63</f>
        <v>0</v>
      </c>
      <c r="BG63" s="77">
        <f>F63*AN63</f>
        <v>0</v>
      </c>
      <c r="BH63" s="77">
        <f>F63*G63</f>
        <v>0</v>
      </c>
      <c r="BI63" s="77"/>
      <c r="BJ63" s="77">
        <v>45</v>
      </c>
      <c r="BU63" s="77" t="e">
        <f>#REF!</f>
        <v>#REF!</v>
      </c>
      <c r="BV63" s="70" t="s">
        <v>524</v>
      </c>
    </row>
    <row r="64" spans="1:74" ht="67.5" customHeight="1" x14ac:dyDescent="0.25">
      <c r="A64" s="104"/>
      <c r="B64" s="81" t="s">
        <v>138</v>
      </c>
      <c r="C64" s="303" t="s">
        <v>1007</v>
      </c>
      <c r="D64" s="304"/>
      <c r="E64" s="304"/>
      <c r="F64" s="304"/>
      <c r="G64" s="304"/>
      <c r="H64" s="304"/>
      <c r="I64" s="304"/>
      <c r="J64" s="304"/>
      <c r="K64" s="304"/>
      <c r="L64" s="304"/>
      <c r="M64" s="305"/>
    </row>
    <row r="65" spans="1:74" x14ac:dyDescent="0.25">
      <c r="A65" s="105" t="s">
        <v>129</v>
      </c>
      <c r="B65" s="74" t="s">
        <v>296</v>
      </c>
      <c r="C65" s="314" t="s">
        <v>297</v>
      </c>
      <c r="D65" s="315"/>
      <c r="E65" s="75" t="s">
        <v>87</v>
      </c>
      <c r="F65" s="75" t="s">
        <v>87</v>
      </c>
      <c r="G65" s="75" t="s">
        <v>87</v>
      </c>
      <c r="H65" s="67">
        <f>SUM(H66:H72)</f>
        <v>0</v>
      </c>
      <c r="I65" s="67">
        <f>SUM(I66:I72)</f>
        <v>0</v>
      </c>
      <c r="J65" s="67">
        <f>SUM(J66:J72)</f>
        <v>0</v>
      </c>
      <c r="K65" s="71" t="s">
        <v>129</v>
      </c>
      <c r="L65" s="67">
        <f>SUM(L66:L72)</f>
        <v>6.9712268000000002</v>
      </c>
      <c r="M65" s="106" t="s">
        <v>129</v>
      </c>
      <c r="AG65" s="71" t="s">
        <v>129</v>
      </c>
      <c r="AQ65" s="67">
        <f>SUM(AH66:AH72)</f>
        <v>0</v>
      </c>
      <c r="AR65" s="67">
        <f>SUM(AI66:AI72)</f>
        <v>0</v>
      </c>
      <c r="AS65" s="67">
        <f>SUM(AJ66:AJ72)</f>
        <v>0</v>
      </c>
    </row>
    <row r="66" spans="1:74" x14ac:dyDescent="0.25">
      <c r="A66" s="92" t="s">
        <v>240</v>
      </c>
      <c r="B66" s="69" t="s">
        <v>299</v>
      </c>
      <c r="C66" s="306" t="s">
        <v>300</v>
      </c>
      <c r="D66" s="307"/>
      <c r="E66" s="69" t="s">
        <v>166</v>
      </c>
      <c r="F66" s="77">
        <v>3.75</v>
      </c>
      <c r="G66" s="218">
        <v>0</v>
      </c>
      <c r="H66" s="77">
        <f>F66*AM66</f>
        <v>0</v>
      </c>
      <c r="I66" s="77">
        <f>F66*AN66</f>
        <v>0</v>
      </c>
      <c r="J66" s="77">
        <f>F66*G66</f>
        <v>0</v>
      </c>
      <c r="K66" s="77">
        <v>0.46</v>
      </c>
      <c r="L66" s="77">
        <f>F66*K66</f>
        <v>1.7250000000000001</v>
      </c>
      <c r="M66" s="103" t="s">
        <v>35</v>
      </c>
      <c r="X66" s="77">
        <f>IF(AO66="5",BH66,0)</f>
        <v>0</v>
      </c>
      <c r="Z66" s="77">
        <f>IF(AO66="1",BF66,0)</f>
        <v>0</v>
      </c>
      <c r="AA66" s="77">
        <f>IF(AO66="1",BG66,0)</f>
        <v>0</v>
      </c>
      <c r="AB66" s="77">
        <f>IF(AO66="7",BF66,0)</f>
        <v>0</v>
      </c>
      <c r="AC66" s="77">
        <f>IF(AO66="7",BG66,0)</f>
        <v>0</v>
      </c>
      <c r="AD66" s="77">
        <f>IF(AO66="2",BF66,0)</f>
        <v>0</v>
      </c>
      <c r="AE66" s="77">
        <f>IF(AO66="2",BG66,0)</f>
        <v>0</v>
      </c>
      <c r="AF66" s="77">
        <f>IF(AO66="0",BH66,0)</f>
        <v>0</v>
      </c>
      <c r="AG66" s="71" t="s">
        <v>129</v>
      </c>
      <c r="AH66" s="77">
        <f>IF(AL66=0,J66,0)</f>
        <v>0</v>
      </c>
      <c r="AI66" s="77">
        <f>IF(AL66=15,J66,0)</f>
        <v>0</v>
      </c>
      <c r="AJ66" s="77">
        <f>IF(AL66=21,J66,0)</f>
        <v>0</v>
      </c>
      <c r="AL66" s="77">
        <v>15</v>
      </c>
      <c r="AM66" s="77">
        <f>G66*0.854821861</f>
        <v>0</v>
      </c>
      <c r="AN66" s="77">
        <f>G66*(1-0.854821861)</f>
        <v>0</v>
      </c>
      <c r="AO66" s="79" t="s">
        <v>132</v>
      </c>
      <c r="AT66" s="77">
        <f>AU66+AV66</f>
        <v>0</v>
      </c>
      <c r="AU66" s="77">
        <f>F66*AM66</f>
        <v>0</v>
      </c>
      <c r="AV66" s="77">
        <f>F66*AN66</f>
        <v>0</v>
      </c>
      <c r="AW66" s="79" t="s">
        <v>301</v>
      </c>
      <c r="AX66" s="79" t="s">
        <v>302</v>
      </c>
      <c r="AY66" s="71" t="s">
        <v>137</v>
      </c>
      <c r="BA66" s="77">
        <f>AU66+AV66</f>
        <v>0</v>
      </c>
      <c r="BB66" s="77">
        <f>G66/(100-BC66)*100</f>
        <v>0</v>
      </c>
      <c r="BC66" s="77">
        <v>0</v>
      </c>
      <c r="BD66" s="77">
        <f>L66</f>
        <v>1.7250000000000001</v>
      </c>
      <c r="BF66" s="77">
        <f>F66*AM66</f>
        <v>0</v>
      </c>
      <c r="BG66" s="77">
        <f>F66*AN66</f>
        <v>0</v>
      </c>
      <c r="BH66" s="77">
        <f>F66*G66</f>
        <v>0</v>
      </c>
      <c r="BI66" s="77"/>
      <c r="BJ66" s="77">
        <v>56</v>
      </c>
      <c r="BU66" s="77" t="e">
        <f>#REF!</f>
        <v>#REF!</v>
      </c>
      <c r="BV66" s="70" t="s">
        <v>300</v>
      </c>
    </row>
    <row r="67" spans="1:74" ht="40.5" customHeight="1" x14ac:dyDescent="0.25">
      <c r="A67" s="104"/>
      <c r="B67" s="81" t="s">
        <v>138</v>
      </c>
      <c r="C67" s="303" t="s">
        <v>1029</v>
      </c>
      <c r="D67" s="304"/>
      <c r="E67" s="304"/>
      <c r="F67" s="304"/>
      <c r="G67" s="304"/>
      <c r="H67" s="304"/>
      <c r="I67" s="304"/>
      <c r="J67" s="304"/>
      <c r="K67" s="304"/>
      <c r="L67" s="304"/>
      <c r="M67" s="305"/>
    </row>
    <row r="68" spans="1:74" x14ac:dyDescent="0.25">
      <c r="A68" s="92" t="s">
        <v>245</v>
      </c>
      <c r="B68" s="69" t="s">
        <v>305</v>
      </c>
      <c r="C68" s="306" t="s">
        <v>306</v>
      </c>
      <c r="D68" s="307"/>
      <c r="E68" s="69" t="s">
        <v>166</v>
      </c>
      <c r="F68" s="77">
        <v>3.91</v>
      </c>
      <c r="G68" s="218">
        <v>0</v>
      </c>
      <c r="H68" s="77">
        <f>F68*AM68</f>
        <v>0</v>
      </c>
      <c r="I68" s="77">
        <f>F68*AN68</f>
        <v>0</v>
      </c>
      <c r="J68" s="77">
        <f>F68*G68</f>
        <v>0</v>
      </c>
      <c r="K68" s="77">
        <v>0.48574000000000001</v>
      </c>
      <c r="L68" s="77">
        <f>F68*K68</f>
        <v>1.8992434</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G68*0.813416381</f>
        <v>0</v>
      </c>
      <c r="AN68" s="77">
        <f>G68*(1-0.813416381)</f>
        <v>0</v>
      </c>
      <c r="AO68" s="79" t="s">
        <v>132</v>
      </c>
      <c r="AT68" s="77">
        <f>AU68+AV68</f>
        <v>0</v>
      </c>
      <c r="AU68" s="77">
        <f>F68*AM68</f>
        <v>0</v>
      </c>
      <c r="AV68" s="77">
        <f>F68*AN68</f>
        <v>0</v>
      </c>
      <c r="AW68" s="79" t="s">
        <v>301</v>
      </c>
      <c r="AX68" s="79" t="s">
        <v>302</v>
      </c>
      <c r="AY68" s="71" t="s">
        <v>137</v>
      </c>
      <c r="BA68" s="77">
        <f>AU68+AV68</f>
        <v>0</v>
      </c>
      <c r="BB68" s="77">
        <f>G68/(100-BC68)*100</f>
        <v>0</v>
      </c>
      <c r="BC68" s="77">
        <v>0</v>
      </c>
      <c r="BD68" s="77">
        <f>L68</f>
        <v>1.8992434</v>
      </c>
      <c r="BF68" s="77">
        <f>F68*AM68</f>
        <v>0</v>
      </c>
      <c r="BG68" s="77">
        <f>F68*AN68</f>
        <v>0</v>
      </c>
      <c r="BH68" s="77">
        <f>F68*G68</f>
        <v>0</v>
      </c>
      <c r="BI68" s="77"/>
      <c r="BJ68" s="77">
        <v>56</v>
      </c>
      <c r="BU68" s="77" t="e">
        <f>#REF!</f>
        <v>#REF!</v>
      </c>
      <c r="BV68" s="70" t="s">
        <v>306</v>
      </c>
    </row>
    <row r="69" spans="1:74" ht="40.5" customHeight="1" x14ac:dyDescent="0.25">
      <c r="A69" s="104"/>
      <c r="B69" s="81" t="s">
        <v>138</v>
      </c>
      <c r="C69" s="303" t="s">
        <v>1030</v>
      </c>
      <c r="D69" s="304"/>
      <c r="E69" s="304"/>
      <c r="F69" s="304"/>
      <c r="G69" s="304"/>
      <c r="H69" s="304"/>
      <c r="I69" s="304"/>
      <c r="J69" s="304"/>
      <c r="K69" s="304"/>
      <c r="L69" s="304"/>
      <c r="M69" s="305"/>
    </row>
    <row r="70" spans="1:74" x14ac:dyDescent="0.25">
      <c r="A70" s="92" t="s">
        <v>250</v>
      </c>
      <c r="B70" s="69" t="s">
        <v>305</v>
      </c>
      <c r="C70" s="306" t="s">
        <v>306</v>
      </c>
      <c r="D70" s="307"/>
      <c r="E70" s="69" t="s">
        <v>166</v>
      </c>
      <c r="F70" s="77">
        <v>3.91</v>
      </c>
      <c r="G70" s="218">
        <v>0</v>
      </c>
      <c r="H70" s="77">
        <f>F70*AM70</f>
        <v>0</v>
      </c>
      <c r="I70" s="77">
        <f>F70*AN70</f>
        <v>0</v>
      </c>
      <c r="J70" s="77">
        <f>F70*G70</f>
        <v>0</v>
      </c>
      <c r="K70" s="77">
        <v>0.48574000000000001</v>
      </c>
      <c r="L70" s="77">
        <f>F70*K70</f>
        <v>1.8992434</v>
      </c>
      <c r="M70" s="103" t="s">
        <v>35</v>
      </c>
      <c r="X70" s="77">
        <f>IF(AO70="5",BH70,0)</f>
        <v>0</v>
      </c>
      <c r="Z70" s="77">
        <f>IF(AO70="1",BF70,0)</f>
        <v>0</v>
      </c>
      <c r="AA70" s="77">
        <f>IF(AO70="1",BG70,0)</f>
        <v>0</v>
      </c>
      <c r="AB70" s="77">
        <f>IF(AO70="7",BF70,0)</f>
        <v>0</v>
      </c>
      <c r="AC70" s="77">
        <f>IF(AO70="7",BG70,0)</f>
        <v>0</v>
      </c>
      <c r="AD70" s="77">
        <f>IF(AO70="2",BF70,0)</f>
        <v>0</v>
      </c>
      <c r="AE70" s="77">
        <f>IF(AO70="2",BG70,0)</f>
        <v>0</v>
      </c>
      <c r="AF70" s="77">
        <f>IF(AO70="0",BH70,0)</f>
        <v>0</v>
      </c>
      <c r="AG70" s="71" t="s">
        <v>129</v>
      </c>
      <c r="AH70" s="77">
        <f>IF(AL70=0,J70,0)</f>
        <v>0</v>
      </c>
      <c r="AI70" s="77">
        <f>IF(AL70=15,J70,0)</f>
        <v>0</v>
      </c>
      <c r="AJ70" s="77">
        <f>IF(AL70=21,J70,0)</f>
        <v>0</v>
      </c>
      <c r="AL70" s="77">
        <v>15</v>
      </c>
      <c r="AM70" s="77">
        <f>G70*0.813416381</f>
        <v>0</v>
      </c>
      <c r="AN70" s="77">
        <f>G70*(1-0.813416381)</f>
        <v>0</v>
      </c>
      <c r="AO70" s="79" t="s">
        <v>132</v>
      </c>
      <c r="AT70" s="77">
        <f>AU70+AV70</f>
        <v>0</v>
      </c>
      <c r="AU70" s="77">
        <f>F70*AM70</f>
        <v>0</v>
      </c>
      <c r="AV70" s="77">
        <f>F70*AN70</f>
        <v>0</v>
      </c>
      <c r="AW70" s="79" t="s">
        <v>301</v>
      </c>
      <c r="AX70" s="79" t="s">
        <v>302</v>
      </c>
      <c r="AY70" s="71" t="s">
        <v>137</v>
      </c>
      <c r="BA70" s="77">
        <f>AU70+AV70</f>
        <v>0</v>
      </c>
      <c r="BB70" s="77">
        <f>G70/(100-BC70)*100</f>
        <v>0</v>
      </c>
      <c r="BC70" s="77">
        <v>0</v>
      </c>
      <c r="BD70" s="77">
        <f>L70</f>
        <v>1.8992434</v>
      </c>
      <c r="BF70" s="77">
        <f>F70*AM70</f>
        <v>0</v>
      </c>
      <c r="BG70" s="77">
        <f>F70*AN70</f>
        <v>0</v>
      </c>
      <c r="BH70" s="77">
        <f>F70*G70</f>
        <v>0</v>
      </c>
      <c r="BI70" s="77"/>
      <c r="BJ70" s="77">
        <v>56</v>
      </c>
      <c r="BU70" s="77" t="e">
        <f>#REF!</f>
        <v>#REF!</v>
      </c>
      <c r="BV70" s="70" t="s">
        <v>306</v>
      </c>
    </row>
    <row r="71" spans="1:74" ht="40.5" customHeight="1" x14ac:dyDescent="0.25">
      <c r="A71" s="104"/>
      <c r="B71" s="81" t="s">
        <v>138</v>
      </c>
      <c r="C71" s="303" t="s">
        <v>1030</v>
      </c>
      <c r="D71" s="304"/>
      <c r="E71" s="304"/>
      <c r="F71" s="304"/>
      <c r="G71" s="304"/>
      <c r="H71" s="304"/>
      <c r="I71" s="304"/>
      <c r="J71" s="304"/>
      <c r="K71" s="304"/>
      <c r="L71" s="304"/>
      <c r="M71" s="305"/>
    </row>
    <row r="72" spans="1:74" x14ac:dyDescent="0.25">
      <c r="A72" s="92" t="s">
        <v>253</v>
      </c>
      <c r="B72" s="69" t="s">
        <v>311</v>
      </c>
      <c r="C72" s="306" t="s">
        <v>312</v>
      </c>
      <c r="D72" s="307"/>
      <c r="E72" s="69" t="s">
        <v>166</v>
      </c>
      <c r="F72" s="77">
        <v>3.83</v>
      </c>
      <c r="G72" s="218">
        <v>0</v>
      </c>
      <c r="H72" s="77">
        <f>F72*AM72</f>
        <v>0</v>
      </c>
      <c r="I72" s="77">
        <f>F72*AN72</f>
        <v>0</v>
      </c>
      <c r="J72" s="77">
        <f>F72*G72</f>
        <v>0</v>
      </c>
      <c r="K72" s="77">
        <v>0.378</v>
      </c>
      <c r="L72" s="77">
        <f>F72*K72</f>
        <v>1.44774</v>
      </c>
      <c r="M72" s="103" t="s">
        <v>35</v>
      </c>
      <c r="X72" s="77">
        <f>IF(AO72="5",BH72,0)</f>
        <v>0</v>
      </c>
      <c r="Z72" s="77">
        <f>IF(AO72="1",BF72,0)</f>
        <v>0</v>
      </c>
      <c r="AA72" s="77">
        <f>IF(AO72="1",BG72,0)</f>
        <v>0</v>
      </c>
      <c r="AB72" s="77">
        <f>IF(AO72="7",BF72,0)</f>
        <v>0</v>
      </c>
      <c r="AC72" s="77">
        <f>IF(AO72="7",BG72,0)</f>
        <v>0</v>
      </c>
      <c r="AD72" s="77">
        <f>IF(AO72="2",BF72,0)</f>
        <v>0</v>
      </c>
      <c r="AE72" s="77">
        <f>IF(AO72="2",BG72,0)</f>
        <v>0</v>
      </c>
      <c r="AF72" s="77">
        <f>IF(AO72="0",BH72,0)</f>
        <v>0</v>
      </c>
      <c r="AG72" s="71" t="s">
        <v>129</v>
      </c>
      <c r="AH72" s="77">
        <f>IF(AL72=0,J72,0)</f>
        <v>0</v>
      </c>
      <c r="AI72" s="77">
        <f>IF(AL72=15,J72,0)</f>
        <v>0</v>
      </c>
      <c r="AJ72" s="77">
        <f>IF(AL72=21,J72,0)</f>
        <v>0</v>
      </c>
      <c r="AL72" s="77">
        <v>15</v>
      </c>
      <c r="AM72" s="77">
        <f>G72*0.826860586</f>
        <v>0</v>
      </c>
      <c r="AN72" s="77">
        <f>G72*(1-0.826860586)</f>
        <v>0</v>
      </c>
      <c r="AO72" s="79" t="s">
        <v>132</v>
      </c>
      <c r="AT72" s="77">
        <f>AU72+AV72</f>
        <v>0</v>
      </c>
      <c r="AU72" s="77">
        <f>F72*AM72</f>
        <v>0</v>
      </c>
      <c r="AV72" s="77">
        <f>F72*AN72</f>
        <v>0</v>
      </c>
      <c r="AW72" s="79" t="s">
        <v>301</v>
      </c>
      <c r="AX72" s="79" t="s">
        <v>302</v>
      </c>
      <c r="AY72" s="71" t="s">
        <v>137</v>
      </c>
      <c r="BA72" s="77">
        <f>AU72+AV72</f>
        <v>0</v>
      </c>
      <c r="BB72" s="77">
        <f>G72/(100-BC72)*100</f>
        <v>0</v>
      </c>
      <c r="BC72" s="77">
        <v>0</v>
      </c>
      <c r="BD72" s="77">
        <f>L72</f>
        <v>1.44774</v>
      </c>
      <c r="BF72" s="77">
        <f>F72*AM72</f>
        <v>0</v>
      </c>
      <c r="BG72" s="77">
        <f>F72*AN72</f>
        <v>0</v>
      </c>
      <c r="BH72" s="77">
        <f>F72*G72</f>
        <v>0</v>
      </c>
      <c r="BI72" s="77"/>
      <c r="BJ72" s="77">
        <v>56</v>
      </c>
      <c r="BU72" s="77" t="e">
        <f>#REF!</f>
        <v>#REF!</v>
      </c>
      <c r="BV72" s="70" t="s">
        <v>312</v>
      </c>
    </row>
    <row r="73" spans="1:74" ht="40.5" customHeight="1" x14ac:dyDescent="0.25">
      <c r="A73" s="104"/>
      <c r="B73" s="81" t="s">
        <v>138</v>
      </c>
      <c r="C73" s="303" t="s">
        <v>981</v>
      </c>
      <c r="D73" s="304"/>
      <c r="E73" s="304"/>
      <c r="F73" s="304"/>
      <c r="G73" s="304"/>
      <c r="H73" s="304"/>
      <c r="I73" s="304"/>
      <c r="J73" s="304"/>
      <c r="K73" s="304"/>
      <c r="L73" s="304"/>
      <c r="M73" s="305"/>
    </row>
    <row r="74" spans="1:74" x14ac:dyDescent="0.25">
      <c r="A74" s="105" t="s">
        <v>129</v>
      </c>
      <c r="B74" s="74" t="s">
        <v>651</v>
      </c>
      <c r="C74" s="314" t="s">
        <v>935</v>
      </c>
      <c r="D74" s="315"/>
      <c r="E74" s="75" t="s">
        <v>87</v>
      </c>
      <c r="F74" s="75" t="s">
        <v>87</v>
      </c>
      <c r="G74" s="75" t="s">
        <v>87</v>
      </c>
      <c r="H74" s="67">
        <f>SUM(H75:H75)</f>
        <v>0</v>
      </c>
      <c r="I74" s="67">
        <f>SUM(I75:I75)</f>
        <v>0</v>
      </c>
      <c r="J74" s="67">
        <f>SUM(J75:J75)</f>
        <v>0</v>
      </c>
      <c r="K74" s="71" t="s">
        <v>129</v>
      </c>
      <c r="L74" s="67">
        <f>SUM(L75:L75)</f>
        <v>2.8820000000000001</v>
      </c>
      <c r="M74" s="106" t="s">
        <v>129</v>
      </c>
      <c r="AG74" s="71" t="s">
        <v>129</v>
      </c>
      <c r="AQ74" s="67">
        <f>SUM(AH75:AH75)</f>
        <v>0</v>
      </c>
      <c r="AR74" s="67">
        <f>SUM(AI75:AI75)</f>
        <v>0</v>
      </c>
      <c r="AS74" s="67">
        <f>SUM(AJ75:AJ75)</f>
        <v>0</v>
      </c>
    </row>
    <row r="75" spans="1:74" x14ac:dyDescent="0.25">
      <c r="A75" s="92" t="s">
        <v>258</v>
      </c>
      <c r="B75" s="69" t="s">
        <v>1031</v>
      </c>
      <c r="C75" s="306" t="s">
        <v>1032</v>
      </c>
      <c r="D75" s="307"/>
      <c r="E75" s="69" t="s">
        <v>145</v>
      </c>
      <c r="F75" s="77">
        <v>5</v>
      </c>
      <c r="G75" s="218">
        <v>0</v>
      </c>
      <c r="H75" s="77">
        <f>F75*AM75</f>
        <v>0</v>
      </c>
      <c r="I75" s="77">
        <f>F75*AN75</f>
        <v>0</v>
      </c>
      <c r="J75" s="77">
        <f>F75*G75</f>
        <v>0</v>
      </c>
      <c r="K75" s="77">
        <v>0.57640000000000002</v>
      </c>
      <c r="L75" s="77">
        <f>F75*K75</f>
        <v>2.8820000000000001</v>
      </c>
      <c r="M75" s="103" t="s">
        <v>35</v>
      </c>
      <c r="X75" s="77">
        <f>IF(AO75="5",BH75,0)</f>
        <v>0</v>
      </c>
      <c r="Z75" s="77">
        <f>IF(AO75="1",BF75,0)</f>
        <v>0</v>
      </c>
      <c r="AA75" s="77">
        <f>IF(AO75="1",BG75,0)</f>
        <v>0</v>
      </c>
      <c r="AB75" s="77">
        <f>IF(AO75="7",BF75,0)</f>
        <v>0</v>
      </c>
      <c r="AC75" s="77">
        <f>IF(AO75="7",BG75,0)</f>
        <v>0</v>
      </c>
      <c r="AD75" s="77">
        <f>IF(AO75="2",BF75,0)</f>
        <v>0</v>
      </c>
      <c r="AE75" s="77">
        <f>IF(AO75="2",BG75,0)</f>
        <v>0</v>
      </c>
      <c r="AF75" s="77">
        <f>IF(AO75="0",BH75,0)</f>
        <v>0</v>
      </c>
      <c r="AG75" s="71" t="s">
        <v>129</v>
      </c>
      <c r="AH75" s="77">
        <f>IF(AL75=0,J75,0)</f>
        <v>0</v>
      </c>
      <c r="AI75" s="77">
        <f>IF(AL75=15,J75,0)</f>
        <v>0</v>
      </c>
      <c r="AJ75" s="77">
        <f>IF(AL75=21,J75,0)</f>
        <v>0</v>
      </c>
      <c r="AL75" s="77">
        <v>15</v>
      </c>
      <c r="AM75" s="77">
        <f>G75*0.415559846</f>
        <v>0</v>
      </c>
      <c r="AN75" s="77">
        <f>G75*(1-0.415559846)</f>
        <v>0</v>
      </c>
      <c r="AO75" s="79" t="s">
        <v>132</v>
      </c>
      <c r="AT75" s="77">
        <f>AU75+AV75</f>
        <v>0</v>
      </c>
      <c r="AU75" s="77">
        <f>F75*AM75</f>
        <v>0</v>
      </c>
      <c r="AV75" s="77">
        <f>F75*AN75</f>
        <v>0</v>
      </c>
      <c r="AW75" s="79" t="s">
        <v>938</v>
      </c>
      <c r="AX75" s="79" t="s">
        <v>320</v>
      </c>
      <c r="AY75" s="71" t="s">
        <v>137</v>
      </c>
      <c r="BA75" s="77">
        <f>AU75+AV75</f>
        <v>0</v>
      </c>
      <c r="BB75" s="77">
        <f>G75/(100-BC75)*100</f>
        <v>0</v>
      </c>
      <c r="BC75" s="77">
        <v>0</v>
      </c>
      <c r="BD75" s="77">
        <f>L75</f>
        <v>2.8820000000000001</v>
      </c>
      <c r="BF75" s="77">
        <f>F75*AM75</f>
        <v>0</v>
      </c>
      <c r="BG75" s="77">
        <f>F75*AN75</f>
        <v>0</v>
      </c>
      <c r="BH75" s="77">
        <f>F75*G75</f>
        <v>0</v>
      </c>
      <c r="BI75" s="77"/>
      <c r="BJ75" s="77">
        <v>83</v>
      </c>
      <c r="BU75" s="77" t="e">
        <f>#REF!</f>
        <v>#REF!</v>
      </c>
      <c r="BV75" s="70" t="s">
        <v>1032</v>
      </c>
    </row>
    <row r="76" spans="1:74" ht="121.5" customHeight="1" x14ac:dyDescent="0.25">
      <c r="A76" s="104"/>
      <c r="B76" s="81" t="s">
        <v>138</v>
      </c>
      <c r="C76" s="303" t="s">
        <v>1033</v>
      </c>
      <c r="D76" s="304"/>
      <c r="E76" s="304"/>
      <c r="F76" s="304"/>
      <c r="G76" s="304"/>
      <c r="H76" s="304"/>
      <c r="I76" s="304"/>
      <c r="J76" s="304"/>
      <c r="K76" s="304"/>
      <c r="L76" s="304"/>
      <c r="M76" s="305"/>
    </row>
    <row r="77" spans="1:74" x14ac:dyDescent="0.25">
      <c r="A77" s="105" t="s">
        <v>129</v>
      </c>
      <c r="B77" s="74" t="s">
        <v>378</v>
      </c>
      <c r="C77" s="314" t="s">
        <v>379</v>
      </c>
      <c r="D77" s="315"/>
      <c r="E77" s="75" t="s">
        <v>87</v>
      </c>
      <c r="F77" s="75" t="s">
        <v>87</v>
      </c>
      <c r="G77" s="75" t="s">
        <v>87</v>
      </c>
      <c r="H77" s="67">
        <f>SUM(H78:H78)</f>
        <v>0</v>
      </c>
      <c r="I77" s="67">
        <f>SUM(I78:I78)</f>
        <v>0</v>
      </c>
      <c r="J77" s="67">
        <f>SUM(J78:J78)</f>
        <v>0</v>
      </c>
      <c r="K77" s="71" t="s">
        <v>129</v>
      </c>
      <c r="L77" s="67">
        <f>SUM(L78:L78)</f>
        <v>0</v>
      </c>
      <c r="M77" s="106" t="s">
        <v>129</v>
      </c>
      <c r="AG77" s="71" t="s">
        <v>129</v>
      </c>
      <c r="AQ77" s="67">
        <f>SUM(AH78:AH78)</f>
        <v>0</v>
      </c>
      <c r="AR77" s="67">
        <f>SUM(AI78:AI78)</f>
        <v>0</v>
      </c>
      <c r="AS77" s="67">
        <f>SUM(AJ78:AJ78)</f>
        <v>0</v>
      </c>
    </row>
    <row r="78" spans="1:74" ht="25.5" x14ac:dyDescent="0.25">
      <c r="A78" s="92" t="s">
        <v>263</v>
      </c>
      <c r="B78" s="69" t="s">
        <v>381</v>
      </c>
      <c r="C78" s="306" t="s">
        <v>382</v>
      </c>
      <c r="D78" s="307"/>
      <c r="E78" s="69" t="s">
        <v>281</v>
      </c>
      <c r="F78" s="77">
        <v>4.93</v>
      </c>
      <c r="G78" s="218">
        <v>0</v>
      </c>
      <c r="H78" s="77">
        <f>F78*AM78</f>
        <v>0</v>
      </c>
      <c r="I78" s="77">
        <f>F78*AN78</f>
        <v>0</v>
      </c>
      <c r="J78" s="77">
        <f>F78*G78</f>
        <v>0</v>
      </c>
      <c r="K78" s="77">
        <v>0</v>
      </c>
      <c r="L78" s="77">
        <f>F78*K78</f>
        <v>0</v>
      </c>
      <c r="M78" s="103" t="s">
        <v>35</v>
      </c>
      <c r="X78" s="77">
        <f>IF(AO78="5",BH78,0)</f>
        <v>0</v>
      </c>
      <c r="Z78" s="77">
        <f>IF(AO78="1",BF78,0)</f>
        <v>0</v>
      </c>
      <c r="AA78" s="77">
        <f>IF(AO78="1",BG78,0)</f>
        <v>0</v>
      </c>
      <c r="AB78" s="77">
        <f>IF(AO78="7",BF78,0)</f>
        <v>0</v>
      </c>
      <c r="AC78" s="77">
        <f>IF(AO78="7",BG78,0)</f>
        <v>0</v>
      </c>
      <c r="AD78" s="77">
        <f>IF(AO78="2",BF78,0)</f>
        <v>0</v>
      </c>
      <c r="AE78" s="77">
        <f>IF(AO78="2",BG78,0)</f>
        <v>0</v>
      </c>
      <c r="AF78" s="77">
        <f>IF(AO78="0",BH78,0)</f>
        <v>0</v>
      </c>
      <c r="AG78" s="71" t="s">
        <v>129</v>
      </c>
      <c r="AH78" s="77">
        <f>IF(AL78=0,J78,0)</f>
        <v>0</v>
      </c>
      <c r="AI78" s="77">
        <f>IF(AL78=15,J78,0)</f>
        <v>0</v>
      </c>
      <c r="AJ78" s="77">
        <f>IF(AL78=21,J78,0)</f>
        <v>0</v>
      </c>
      <c r="AL78" s="77">
        <v>15</v>
      </c>
      <c r="AM78" s="77">
        <f>G78*0</f>
        <v>0</v>
      </c>
      <c r="AN78" s="77">
        <f>G78*(1-0)</f>
        <v>0</v>
      </c>
      <c r="AO78" s="79" t="s">
        <v>132</v>
      </c>
      <c r="AT78" s="77">
        <f>AU78+AV78</f>
        <v>0</v>
      </c>
      <c r="AU78" s="77">
        <f>F78*AM78</f>
        <v>0</v>
      </c>
      <c r="AV78" s="77">
        <f>F78*AN78</f>
        <v>0</v>
      </c>
      <c r="AW78" s="79" t="s">
        <v>383</v>
      </c>
      <c r="AX78" s="79" t="s">
        <v>384</v>
      </c>
      <c r="AY78" s="71" t="s">
        <v>137</v>
      </c>
      <c r="BA78" s="77">
        <f>AU78+AV78</f>
        <v>0</v>
      </c>
      <c r="BB78" s="77">
        <f>G78/(100-BC78)*100</f>
        <v>0</v>
      </c>
      <c r="BC78" s="77">
        <v>0</v>
      </c>
      <c r="BD78" s="77">
        <f>L78</f>
        <v>0</v>
      </c>
      <c r="BF78" s="77">
        <f>F78*AM78</f>
        <v>0</v>
      </c>
      <c r="BG78" s="77">
        <f>F78*AN78</f>
        <v>0</v>
      </c>
      <c r="BH78" s="77">
        <f>F78*G78</f>
        <v>0</v>
      </c>
      <c r="BI78" s="77"/>
      <c r="BJ78" s="77">
        <v>97</v>
      </c>
      <c r="BU78" s="77" t="e">
        <f>#REF!</f>
        <v>#REF!</v>
      </c>
      <c r="BV78" s="70" t="s">
        <v>382</v>
      </c>
    </row>
    <row r="79" spans="1:74" ht="27" customHeight="1" thickBot="1" x14ac:dyDescent="0.3">
      <c r="A79" s="107"/>
      <c r="B79" s="108" t="s">
        <v>138</v>
      </c>
      <c r="C79" s="308" t="s">
        <v>1034</v>
      </c>
      <c r="D79" s="309"/>
      <c r="E79" s="309"/>
      <c r="F79" s="309"/>
      <c r="G79" s="309"/>
      <c r="H79" s="309"/>
      <c r="I79" s="309"/>
      <c r="J79" s="309"/>
      <c r="K79" s="309"/>
      <c r="L79" s="309"/>
      <c r="M79" s="310"/>
    </row>
    <row r="80" spans="1:74" x14ac:dyDescent="0.25">
      <c r="A80" s="97" t="s">
        <v>129</v>
      </c>
      <c r="B80" s="98" t="s">
        <v>386</v>
      </c>
      <c r="C80" s="318" t="s">
        <v>387</v>
      </c>
      <c r="D80" s="319"/>
      <c r="E80" s="99" t="s">
        <v>87</v>
      </c>
      <c r="F80" s="99" t="s">
        <v>87</v>
      </c>
      <c r="G80" s="99" t="s">
        <v>87</v>
      </c>
      <c r="H80" s="100">
        <f>SUM(H81:H84)</f>
        <v>0</v>
      </c>
      <c r="I80" s="100">
        <f>SUM(I81:I84)</f>
        <v>0</v>
      </c>
      <c r="J80" s="100">
        <f>SUM(J81:J84)</f>
        <v>0</v>
      </c>
      <c r="K80" s="101" t="s">
        <v>129</v>
      </c>
      <c r="L80" s="100">
        <f>SUM(L81:L84)</f>
        <v>0</v>
      </c>
      <c r="M80" s="102" t="s">
        <v>129</v>
      </c>
      <c r="AG80" s="71" t="s">
        <v>129</v>
      </c>
      <c r="AQ80" s="67">
        <f>SUM(AH81:AH84)</f>
        <v>0</v>
      </c>
      <c r="AR80" s="67">
        <f>SUM(AI81:AI84)</f>
        <v>0</v>
      </c>
      <c r="AS80" s="67">
        <f>SUM(AJ81:AJ84)</f>
        <v>0</v>
      </c>
    </row>
    <row r="81" spans="1:74" ht="25.5" x14ac:dyDescent="0.25">
      <c r="A81" s="92" t="s">
        <v>268</v>
      </c>
      <c r="B81" s="69" t="s">
        <v>389</v>
      </c>
      <c r="C81" s="306" t="s">
        <v>390</v>
      </c>
      <c r="D81" s="307"/>
      <c r="E81" s="69" t="s">
        <v>281</v>
      </c>
      <c r="F81" s="77">
        <v>6.57</v>
      </c>
      <c r="G81" s="218">
        <v>0</v>
      </c>
      <c r="H81" s="77">
        <f>F81*AM81</f>
        <v>0</v>
      </c>
      <c r="I81" s="77">
        <f>F81*AN81</f>
        <v>0</v>
      </c>
      <c r="J81" s="77">
        <f>F81*G81</f>
        <v>0</v>
      </c>
      <c r="K81" s="77">
        <v>0</v>
      </c>
      <c r="L81" s="77">
        <f>F81*K81</f>
        <v>0</v>
      </c>
      <c r="M81" s="103" t="s">
        <v>35</v>
      </c>
      <c r="X81" s="77">
        <f>IF(AO81="5",BH81,0)</f>
        <v>0</v>
      </c>
      <c r="Z81" s="77">
        <f>IF(AO81="1",BF81,0)</f>
        <v>0</v>
      </c>
      <c r="AA81" s="77">
        <f>IF(AO81="1",BG81,0)</f>
        <v>0</v>
      </c>
      <c r="AB81" s="77">
        <f>IF(AO81="7",BF81,0)</f>
        <v>0</v>
      </c>
      <c r="AC81" s="77">
        <f>IF(AO81="7",BG81,0)</f>
        <v>0</v>
      </c>
      <c r="AD81" s="77">
        <f>IF(AO81="2",BF81,0)</f>
        <v>0</v>
      </c>
      <c r="AE81" s="77">
        <f>IF(AO81="2",BG81,0)</f>
        <v>0</v>
      </c>
      <c r="AF81" s="77">
        <f>IF(AO81="0",BH81,0)</f>
        <v>0</v>
      </c>
      <c r="AG81" s="71" t="s">
        <v>129</v>
      </c>
      <c r="AH81" s="77">
        <f>IF(AL81=0,J81,0)</f>
        <v>0</v>
      </c>
      <c r="AI81" s="77">
        <f>IF(AL81=15,J81,0)</f>
        <v>0</v>
      </c>
      <c r="AJ81" s="77">
        <f>IF(AL81=21,J81,0)</f>
        <v>0</v>
      </c>
      <c r="AL81" s="77">
        <v>15</v>
      </c>
      <c r="AM81" s="77">
        <f>G81*0</f>
        <v>0</v>
      </c>
      <c r="AN81" s="77">
        <f>G81*(1-0)</f>
        <v>0</v>
      </c>
      <c r="AO81" s="79" t="s">
        <v>158</v>
      </c>
      <c r="AT81" s="77">
        <f>AU81+AV81</f>
        <v>0</v>
      </c>
      <c r="AU81" s="77">
        <f>F81*AM81</f>
        <v>0</v>
      </c>
      <c r="AV81" s="77">
        <f>F81*AN81</f>
        <v>0</v>
      </c>
      <c r="AW81" s="79" t="s">
        <v>391</v>
      </c>
      <c r="AX81" s="79" t="s">
        <v>384</v>
      </c>
      <c r="AY81" s="71" t="s">
        <v>137</v>
      </c>
      <c r="BA81" s="77">
        <f>AU81+AV81</f>
        <v>0</v>
      </c>
      <c r="BB81" s="77">
        <f>G81/(100-BC81)*100</f>
        <v>0</v>
      </c>
      <c r="BC81" s="77">
        <v>0</v>
      </c>
      <c r="BD81" s="77">
        <f>L81</f>
        <v>0</v>
      </c>
      <c r="BF81" s="77">
        <f>F81*AM81</f>
        <v>0</v>
      </c>
      <c r="BG81" s="77">
        <f>F81*AN81</f>
        <v>0</v>
      </c>
      <c r="BH81" s="77">
        <f>F81*G81</f>
        <v>0</v>
      </c>
      <c r="BI81" s="77"/>
      <c r="BJ81" s="77"/>
      <c r="BU81" s="77" t="e">
        <f>#REF!</f>
        <v>#REF!</v>
      </c>
      <c r="BV81" s="70" t="s">
        <v>390</v>
      </c>
    </row>
    <row r="82" spans="1:74" x14ac:dyDescent="0.25">
      <c r="A82" s="92" t="s">
        <v>274</v>
      </c>
      <c r="B82" s="69" t="s">
        <v>393</v>
      </c>
      <c r="C82" s="306" t="s">
        <v>394</v>
      </c>
      <c r="D82" s="307"/>
      <c r="E82" s="69" t="s">
        <v>281</v>
      </c>
      <c r="F82" s="77">
        <v>24.64</v>
      </c>
      <c r="G82" s="218">
        <v>0</v>
      </c>
      <c r="H82" s="77">
        <f>F82*AM82</f>
        <v>0</v>
      </c>
      <c r="I82" s="77">
        <f>F82*AN82</f>
        <v>0</v>
      </c>
      <c r="J82" s="77">
        <f>F82*G82</f>
        <v>0</v>
      </c>
      <c r="K82" s="77">
        <v>0</v>
      </c>
      <c r="L82" s="77">
        <f>F82*K82</f>
        <v>0</v>
      </c>
      <c r="M82" s="103" t="s">
        <v>35</v>
      </c>
      <c r="X82" s="77">
        <f>IF(AO82="5",BH82,0)</f>
        <v>0</v>
      </c>
      <c r="Z82" s="77">
        <f>IF(AO82="1",BF82,0)</f>
        <v>0</v>
      </c>
      <c r="AA82" s="77">
        <f>IF(AO82="1",BG82,0)</f>
        <v>0</v>
      </c>
      <c r="AB82" s="77">
        <f>IF(AO82="7",BF82,0)</f>
        <v>0</v>
      </c>
      <c r="AC82" s="77">
        <f>IF(AO82="7",BG82,0)</f>
        <v>0</v>
      </c>
      <c r="AD82" s="77">
        <f>IF(AO82="2",BF82,0)</f>
        <v>0</v>
      </c>
      <c r="AE82" s="77">
        <f>IF(AO82="2",BG82,0)</f>
        <v>0</v>
      </c>
      <c r="AF82" s="77">
        <f>IF(AO82="0",BH82,0)</f>
        <v>0</v>
      </c>
      <c r="AG82" s="71" t="s">
        <v>129</v>
      </c>
      <c r="AH82" s="77">
        <f>IF(AL82=0,J82,0)</f>
        <v>0</v>
      </c>
      <c r="AI82" s="77">
        <f>IF(AL82=15,J82,0)</f>
        <v>0</v>
      </c>
      <c r="AJ82" s="77">
        <f>IF(AL82=21,J82,0)</f>
        <v>0</v>
      </c>
      <c r="AL82" s="77">
        <v>15</v>
      </c>
      <c r="AM82" s="77">
        <f>G82*0</f>
        <v>0</v>
      </c>
      <c r="AN82" s="77">
        <f>G82*(1-0)</f>
        <v>0</v>
      </c>
      <c r="AO82" s="79" t="s">
        <v>158</v>
      </c>
      <c r="AT82" s="77">
        <f>AU82+AV82</f>
        <v>0</v>
      </c>
      <c r="AU82" s="77">
        <f>F82*AM82</f>
        <v>0</v>
      </c>
      <c r="AV82" s="77">
        <f>F82*AN82</f>
        <v>0</v>
      </c>
      <c r="AW82" s="79" t="s">
        <v>391</v>
      </c>
      <c r="AX82" s="79" t="s">
        <v>384</v>
      </c>
      <c r="AY82" s="71" t="s">
        <v>137</v>
      </c>
      <c r="BA82" s="77">
        <f>AU82+AV82</f>
        <v>0</v>
      </c>
      <c r="BB82" s="77">
        <f>G82/(100-BC82)*100</f>
        <v>0</v>
      </c>
      <c r="BC82" s="77">
        <v>0</v>
      </c>
      <c r="BD82" s="77">
        <f>L82</f>
        <v>0</v>
      </c>
      <c r="BF82" s="77">
        <f>F82*AM82</f>
        <v>0</v>
      </c>
      <c r="BG82" s="77">
        <f>F82*AN82</f>
        <v>0</v>
      </c>
      <c r="BH82" s="77">
        <f>F82*G82</f>
        <v>0</v>
      </c>
      <c r="BI82" s="77"/>
      <c r="BJ82" s="77"/>
      <c r="BU82" s="77" t="e">
        <f>#REF!</f>
        <v>#REF!</v>
      </c>
      <c r="BV82" s="70" t="s">
        <v>394</v>
      </c>
    </row>
    <row r="83" spans="1:74" ht="40.5" customHeight="1" x14ac:dyDescent="0.25">
      <c r="A83" s="104"/>
      <c r="B83" s="81" t="s">
        <v>138</v>
      </c>
      <c r="C83" s="303" t="s">
        <v>1035</v>
      </c>
      <c r="D83" s="304"/>
      <c r="E83" s="304"/>
      <c r="F83" s="304"/>
      <c r="G83" s="304"/>
      <c r="H83" s="304"/>
      <c r="I83" s="304"/>
      <c r="J83" s="304"/>
      <c r="K83" s="304"/>
      <c r="L83" s="304"/>
      <c r="M83" s="305"/>
    </row>
    <row r="84" spans="1:74" x14ac:dyDescent="0.25">
      <c r="A84" s="92" t="s">
        <v>278</v>
      </c>
      <c r="B84" s="69" t="s">
        <v>798</v>
      </c>
      <c r="C84" s="306" t="s">
        <v>799</v>
      </c>
      <c r="D84" s="307"/>
      <c r="E84" s="69" t="s">
        <v>281</v>
      </c>
      <c r="F84" s="77">
        <v>8.2100000000000009</v>
      </c>
      <c r="G84" s="218">
        <v>0</v>
      </c>
      <c r="H84" s="77">
        <f>F84*AM84</f>
        <v>0</v>
      </c>
      <c r="I84" s="77">
        <f>F84*AN84</f>
        <v>0</v>
      </c>
      <c r="J84" s="77">
        <f>F84*G84</f>
        <v>0</v>
      </c>
      <c r="K84" s="77">
        <v>0</v>
      </c>
      <c r="L84" s="77">
        <f>F84*K84</f>
        <v>0</v>
      </c>
      <c r="M84" s="103" t="s">
        <v>35</v>
      </c>
      <c r="X84" s="77">
        <f>IF(AO84="5",BH84,0)</f>
        <v>0</v>
      </c>
      <c r="Z84" s="77">
        <f>IF(AO84="1",BF84,0)</f>
        <v>0</v>
      </c>
      <c r="AA84" s="77">
        <f>IF(AO84="1",BG84,0)</f>
        <v>0</v>
      </c>
      <c r="AB84" s="77">
        <f>IF(AO84="7",BF84,0)</f>
        <v>0</v>
      </c>
      <c r="AC84" s="77">
        <f>IF(AO84="7",BG84,0)</f>
        <v>0</v>
      </c>
      <c r="AD84" s="77">
        <f>IF(AO84="2",BF84,0)</f>
        <v>0</v>
      </c>
      <c r="AE84" s="77">
        <f>IF(AO84="2",BG84,0)</f>
        <v>0</v>
      </c>
      <c r="AF84" s="77">
        <f>IF(AO84="0",BH84,0)</f>
        <v>0</v>
      </c>
      <c r="AG84" s="71" t="s">
        <v>129</v>
      </c>
      <c r="AH84" s="77">
        <f>IF(AL84=0,J84,0)</f>
        <v>0</v>
      </c>
      <c r="AI84" s="77">
        <f>IF(AL84=15,J84,0)</f>
        <v>0</v>
      </c>
      <c r="AJ84" s="77">
        <f>IF(AL84=21,J84,0)</f>
        <v>0</v>
      </c>
      <c r="AL84" s="77">
        <v>15</v>
      </c>
      <c r="AM84" s="77">
        <f>G84*0</f>
        <v>0</v>
      </c>
      <c r="AN84" s="77">
        <f>G84*(1-0)</f>
        <v>0</v>
      </c>
      <c r="AO84" s="79" t="s">
        <v>158</v>
      </c>
      <c r="AT84" s="77">
        <f>AU84+AV84</f>
        <v>0</v>
      </c>
      <c r="AU84" s="77">
        <f>F84*AM84</f>
        <v>0</v>
      </c>
      <c r="AV84" s="77">
        <f>F84*AN84</f>
        <v>0</v>
      </c>
      <c r="AW84" s="79" t="s">
        <v>391</v>
      </c>
      <c r="AX84" s="79" t="s">
        <v>384</v>
      </c>
      <c r="AY84" s="71" t="s">
        <v>137</v>
      </c>
      <c r="BA84" s="77">
        <f>AU84+AV84</f>
        <v>0</v>
      </c>
      <c r="BB84" s="77">
        <f>G84/(100-BC84)*100</f>
        <v>0</v>
      </c>
      <c r="BC84" s="77">
        <v>0</v>
      </c>
      <c r="BD84" s="77">
        <f>L84</f>
        <v>0</v>
      </c>
      <c r="BF84" s="77">
        <f>F84*AM84</f>
        <v>0</v>
      </c>
      <c r="BG84" s="77">
        <f>F84*AN84</f>
        <v>0</v>
      </c>
      <c r="BH84" s="77">
        <f>F84*G84</f>
        <v>0</v>
      </c>
      <c r="BI84" s="77"/>
      <c r="BJ84" s="77"/>
      <c r="BU84" s="77" t="e">
        <f>#REF!</f>
        <v>#REF!</v>
      </c>
      <c r="BV84" s="70" t="s">
        <v>799</v>
      </c>
    </row>
    <row r="85" spans="1:74" ht="40.5" customHeight="1" x14ac:dyDescent="0.25">
      <c r="A85" s="104"/>
      <c r="B85" s="81" t="s">
        <v>138</v>
      </c>
      <c r="C85" s="303" t="s">
        <v>1036</v>
      </c>
      <c r="D85" s="304"/>
      <c r="E85" s="304"/>
      <c r="F85" s="304"/>
      <c r="G85" s="304"/>
      <c r="H85" s="304"/>
      <c r="I85" s="304"/>
      <c r="J85" s="304"/>
      <c r="K85" s="304"/>
      <c r="L85" s="304"/>
      <c r="M85" s="305"/>
    </row>
    <row r="86" spans="1:74" x14ac:dyDescent="0.25">
      <c r="A86" s="105" t="s">
        <v>129</v>
      </c>
      <c r="B86" s="74" t="s">
        <v>401</v>
      </c>
      <c r="C86" s="314" t="s">
        <v>402</v>
      </c>
      <c r="D86" s="315"/>
      <c r="E86" s="75" t="s">
        <v>87</v>
      </c>
      <c r="F86" s="75" t="s">
        <v>87</v>
      </c>
      <c r="G86" s="75" t="s">
        <v>87</v>
      </c>
      <c r="H86" s="67">
        <f>SUM(H87:H88)</f>
        <v>0</v>
      </c>
      <c r="I86" s="67">
        <f>SUM(I87:I88)</f>
        <v>0</v>
      </c>
      <c r="J86" s="67">
        <f>SUM(J87:J88)</f>
        <v>0</v>
      </c>
      <c r="K86" s="71" t="s">
        <v>129</v>
      </c>
      <c r="L86" s="67">
        <f>SUM(L87:L88)</f>
        <v>0</v>
      </c>
      <c r="M86" s="106" t="s">
        <v>129</v>
      </c>
      <c r="AG86" s="71" t="s">
        <v>129</v>
      </c>
      <c r="AQ86" s="67">
        <f>SUM(AH87:AH88)</f>
        <v>0</v>
      </c>
      <c r="AR86" s="67">
        <f>SUM(AI87:AI88)</f>
        <v>0</v>
      </c>
      <c r="AS86" s="67">
        <f>SUM(AJ87:AJ88)</f>
        <v>0</v>
      </c>
    </row>
    <row r="87" spans="1:74" x14ac:dyDescent="0.25">
      <c r="A87" s="92" t="s">
        <v>283</v>
      </c>
      <c r="B87" s="69" t="s">
        <v>404</v>
      </c>
      <c r="C87" s="306" t="s">
        <v>405</v>
      </c>
      <c r="D87" s="307"/>
      <c r="E87" s="69" t="s">
        <v>281</v>
      </c>
      <c r="F87" s="77">
        <v>2.89</v>
      </c>
      <c r="G87" s="218">
        <v>0</v>
      </c>
      <c r="H87" s="77">
        <f>F87*AM87</f>
        <v>0</v>
      </c>
      <c r="I87" s="77">
        <f>F87*AN87</f>
        <v>0</v>
      </c>
      <c r="J87" s="77">
        <f>F87*G87</f>
        <v>0</v>
      </c>
      <c r="K87" s="77">
        <v>0</v>
      </c>
      <c r="L87" s="77">
        <f>F87*K87</f>
        <v>0</v>
      </c>
      <c r="M87" s="103" t="s">
        <v>35</v>
      </c>
      <c r="X87" s="77">
        <f>IF(AO87="5",BH87,0)</f>
        <v>0</v>
      </c>
      <c r="Z87" s="77">
        <f>IF(AO87="1",BF87,0)</f>
        <v>0</v>
      </c>
      <c r="AA87" s="77">
        <f>IF(AO87="1",BG87,0)</f>
        <v>0</v>
      </c>
      <c r="AB87" s="77">
        <f>IF(AO87="7",BF87,0)</f>
        <v>0</v>
      </c>
      <c r="AC87" s="77">
        <f>IF(AO87="7",BG87,0)</f>
        <v>0</v>
      </c>
      <c r="AD87" s="77">
        <f>IF(AO87="2",BF87,0)</f>
        <v>0</v>
      </c>
      <c r="AE87" s="77">
        <f>IF(AO87="2",BG87,0)</f>
        <v>0</v>
      </c>
      <c r="AF87" s="77">
        <f>IF(AO87="0",BH87,0)</f>
        <v>0</v>
      </c>
      <c r="AG87" s="71" t="s">
        <v>129</v>
      </c>
      <c r="AH87" s="77">
        <f>IF(AL87=0,J87,0)</f>
        <v>0</v>
      </c>
      <c r="AI87" s="77">
        <f>IF(AL87=15,J87,0)</f>
        <v>0</v>
      </c>
      <c r="AJ87" s="77">
        <f>IF(AL87=21,J87,0)</f>
        <v>0</v>
      </c>
      <c r="AL87" s="77">
        <v>15</v>
      </c>
      <c r="AM87" s="77">
        <f>G87*0</f>
        <v>0</v>
      </c>
      <c r="AN87" s="77">
        <f>G87*(1-0)</f>
        <v>0</v>
      </c>
      <c r="AO87" s="79" t="s">
        <v>158</v>
      </c>
      <c r="AT87" s="77">
        <f>AU87+AV87</f>
        <v>0</v>
      </c>
      <c r="AU87" s="77">
        <f>F87*AM87</f>
        <v>0</v>
      </c>
      <c r="AV87" s="77">
        <f>F87*AN87</f>
        <v>0</v>
      </c>
      <c r="AW87" s="79" t="s">
        <v>406</v>
      </c>
      <c r="AX87" s="79" t="s">
        <v>384</v>
      </c>
      <c r="AY87" s="71" t="s">
        <v>137</v>
      </c>
      <c r="BA87" s="77">
        <f>AU87+AV87</f>
        <v>0</v>
      </c>
      <c r="BB87" s="77">
        <f>G87/(100-BC87)*100</f>
        <v>0</v>
      </c>
      <c r="BC87" s="77">
        <v>0</v>
      </c>
      <c r="BD87" s="77">
        <f>L87</f>
        <v>0</v>
      </c>
      <c r="BF87" s="77">
        <f>F87*AM87</f>
        <v>0</v>
      </c>
      <c r="BG87" s="77">
        <f>F87*AN87</f>
        <v>0</v>
      </c>
      <c r="BH87" s="77">
        <f>F87*G87</f>
        <v>0</v>
      </c>
      <c r="BI87" s="77"/>
      <c r="BJ87" s="77"/>
      <c r="BU87" s="77" t="e">
        <f>#REF!</f>
        <v>#REF!</v>
      </c>
      <c r="BV87" s="70" t="s">
        <v>405</v>
      </c>
    </row>
    <row r="88" spans="1:74" x14ac:dyDescent="0.25">
      <c r="A88" s="92" t="s">
        <v>290</v>
      </c>
      <c r="B88" s="69" t="s">
        <v>408</v>
      </c>
      <c r="C88" s="306" t="s">
        <v>409</v>
      </c>
      <c r="D88" s="307"/>
      <c r="E88" s="69" t="s">
        <v>281</v>
      </c>
      <c r="F88" s="77">
        <v>6.15</v>
      </c>
      <c r="G88" s="218">
        <v>0</v>
      </c>
      <c r="H88" s="77">
        <f>F88*AM88</f>
        <v>0</v>
      </c>
      <c r="I88" s="77">
        <f>F88*AN88</f>
        <v>0</v>
      </c>
      <c r="J88" s="77">
        <f>F88*G88</f>
        <v>0</v>
      </c>
      <c r="K88" s="77">
        <v>0</v>
      </c>
      <c r="L88" s="77">
        <f>F88*K88</f>
        <v>0</v>
      </c>
      <c r="M88" s="103" t="s">
        <v>35</v>
      </c>
      <c r="X88" s="77">
        <f>IF(AO88="5",BH88,0)</f>
        <v>0</v>
      </c>
      <c r="Z88" s="77">
        <f>IF(AO88="1",BF88,0)</f>
        <v>0</v>
      </c>
      <c r="AA88" s="77">
        <f>IF(AO88="1",BG88,0)</f>
        <v>0</v>
      </c>
      <c r="AB88" s="77">
        <f>IF(AO88="7",BF88,0)</f>
        <v>0</v>
      </c>
      <c r="AC88" s="77">
        <f>IF(AO88="7",BG88,0)</f>
        <v>0</v>
      </c>
      <c r="AD88" s="77">
        <f>IF(AO88="2",BF88,0)</f>
        <v>0</v>
      </c>
      <c r="AE88" s="77">
        <f>IF(AO88="2",BG88,0)</f>
        <v>0</v>
      </c>
      <c r="AF88" s="77">
        <f>IF(AO88="0",BH88,0)</f>
        <v>0</v>
      </c>
      <c r="AG88" s="71" t="s">
        <v>129</v>
      </c>
      <c r="AH88" s="77">
        <f>IF(AL88=0,J88,0)</f>
        <v>0</v>
      </c>
      <c r="AI88" s="77">
        <f>IF(AL88=15,J88,0)</f>
        <v>0</v>
      </c>
      <c r="AJ88" s="77">
        <f>IF(AL88=21,J88,0)</f>
        <v>0</v>
      </c>
      <c r="AL88" s="77">
        <v>15</v>
      </c>
      <c r="AM88" s="77">
        <f>G88*0</f>
        <v>0</v>
      </c>
      <c r="AN88" s="77">
        <f>G88*(1-0)</f>
        <v>0</v>
      </c>
      <c r="AO88" s="79" t="s">
        <v>158</v>
      </c>
      <c r="AT88" s="77">
        <f>AU88+AV88</f>
        <v>0</v>
      </c>
      <c r="AU88" s="77">
        <f>F88*AM88</f>
        <v>0</v>
      </c>
      <c r="AV88" s="77">
        <f>F88*AN88</f>
        <v>0</v>
      </c>
      <c r="AW88" s="79" t="s">
        <v>406</v>
      </c>
      <c r="AX88" s="79" t="s">
        <v>384</v>
      </c>
      <c r="AY88" s="71" t="s">
        <v>137</v>
      </c>
      <c r="BA88" s="77">
        <f>AU88+AV88</f>
        <v>0</v>
      </c>
      <c r="BB88" s="77">
        <f>G88/(100-BC88)*100</f>
        <v>0</v>
      </c>
      <c r="BC88" s="77">
        <v>0</v>
      </c>
      <c r="BD88" s="77">
        <f>L88</f>
        <v>0</v>
      </c>
      <c r="BF88" s="77">
        <f>F88*AM88</f>
        <v>0</v>
      </c>
      <c r="BG88" s="77">
        <f>F88*AN88</f>
        <v>0</v>
      </c>
      <c r="BH88" s="77">
        <f>F88*G88</f>
        <v>0</v>
      </c>
      <c r="BI88" s="77"/>
      <c r="BJ88" s="77"/>
      <c r="BU88" s="77" t="e">
        <f>#REF!</f>
        <v>#REF!</v>
      </c>
      <c r="BV88" s="70" t="s">
        <v>409</v>
      </c>
    </row>
    <row r="89" spans="1:74" x14ac:dyDescent="0.25">
      <c r="A89" s="105" t="s">
        <v>129</v>
      </c>
      <c r="B89" s="74" t="s">
        <v>1037</v>
      </c>
      <c r="C89" s="314" t="s">
        <v>1038</v>
      </c>
      <c r="D89" s="315"/>
      <c r="E89" s="75" t="s">
        <v>87</v>
      </c>
      <c r="F89" s="75" t="s">
        <v>87</v>
      </c>
      <c r="G89" s="75" t="s">
        <v>87</v>
      </c>
      <c r="H89" s="67">
        <f>SUM(H90:H90)</f>
        <v>0</v>
      </c>
      <c r="I89" s="67">
        <f>SUM(I90:I90)</f>
        <v>0</v>
      </c>
      <c r="J89" s="67">
        <f>SUM(J90:J90)</f>
        <v>0</v>
      </c>
      <c r="K89" s="71" t="s">
        <v>129</v>
      </c>
      <c r="L89" s="67">
        <f>SUM(L90:L90)</f>
        <v>0.1</v>
      </c>
      <c r="M89" s="106" t="s">
        <v>129</v>
      </c>
      <c r="AG89" s="71" t="s">
        <v>129</v>
      </c>
      <c r="AQ89" s="67">
        <f>SUM(AH90:AH90)</f>
        <v>0</v>
      </c>
      <c r="AR89" s="67">
        <f>SUM(AI90:AI90)</f>
        <v>0</v>
      </c>
      <c r="AS89" s="67">
        <f>SUM(AJ90:AJ90)</f>
        <v>0</v>
      </c>
    </row>
    <row r="90" spans="1:74" x14ac:dyDescent="0.25">
      <c r="A90" s="92" t="s">
        <v>298</v>
      </c>
      <c r="B90" s="69" t="s">
        <v>1039</v>
      </c>
      <c r="C90" s="306" t="s">
        <v>1040</v>
      </c>
      <c r="D90" s="307"/>
      <c r="E90" s="69" t="s">
        <v>177</v>
      </c>
      <c r="F90" s="77">
        <v>0.8</v>
      </c>
      <c r="G90" s="218">
        <v>0</v>
      </c>
      <c r="H90" s="77">
        <f>F90*AM90</f>
        <v>0</v>
      </c>
      <c r="I90" s="77">
        <f>F90*AN90</f>
        <v>0</v>
      </c>
      <c r="J90" s="77">
        <f>F90*G90</f>
        <v>0</v>
      </c>
      <c r="K90" s="77">
        <v>0.125</v>
      </c>
      <c r="L90" s="77">
        <f>F90*K90</f>
        <v>0.1</v>
      </c>
      <c r="M90" s="103" t="s">
        <v>35</v>
      </c>
      <c r="X90" s="77">
        <f>IF(AO90="5",BH90,0)</f>
        <v>0</v>
      </c>
      <c r="Z90" s="77">
        <f>IF(AO90="1",BF90,0)</f>
        <v>0</v>
      </c>
      <c r="AA90" s="77">
        <f>IF(AO90="1",BG90,0)</f>
        <v>0</v>
      </c>
      <c r="AB90" s="77">
        <f>IF(AO90="7",BF90,0)</f>
        <v>0</v>
      </c>
      <c r="AC90" s="77">
        <f>IF(AO90="7",BG90,0)</f>
        <v>0</v>
      </c>
      <c r="AD90" s="77">
        <f>IF(AO90="2",BF90,0)</f>
        <v>0</v>
      </c>
      <c r="AE90" s="77">
        <f>IF(AO90="2",BG90,0)</f>
        <v>0</v>
      </c>
      <c r="AF90" s="77">
        <f>IF(AO90="0",BH90,0)</f>
        <v>0</v>
      </c>
      <c r="AG90" s="71" t="s">
        <v>129</v>
      </c>
      <c r="AH90" s="77">
        <f>IF(AL90=0,J90,0)</f>
        <v>0</v>
      </c>
      <c r="AI90" s="77">
        <f>IF(AL90=15,J90,0)</f>
        <v>0</v>
      </c>
      <c r="AJ90" s="77">
        <f>IF(AL90=21,J90,0)</f>
        <v>0</v>
      </c>
      <c r="AL90" s="77">
        <v>15</v>
      </c>
      <c r="AM90" s="77">
        <f>G90*0.298789174</f>
        <v>0</v>
      </c>
      <c r="AN90" s="77">
        <f>G90*(1-0.298789174)</f>
        <v>0</v>
      </c>
      <c r="AO90" s="79" t="s">
        <v>142</v>
      </c>
      <c r="AT90" s="77">
        <f>AU90+AV90</f>
        <v>0</v>
      </c>
      <c r="AU90" s="77">
        <f>F90*AM90</f>
        <v>0</v>
      </c>
      <c r="AV90" s="77">
        <f>F90*AN90</f>
        <v>0</v>
      </c>
      <c r="AW90" s="79" t="s">
        <v>1041</v>
      </c>
      <c r="AX90" s="79" t="s">
        <v>384</v>
      </c>
      <c r="AY90" s="71" t="s">
        <v>137</v>
      </c>
      <c r="BA90" s="77">
        <f>AU90+AV90</f>
        <v>0</v>
      </c>
      <c r="BB90" s="77">
        <f>G90/(100-BC90)*100</f>
        <v>0</v>
      </c>
      <c r="BC90" s="77">
        <v>0</v>
      </c>
      <c r="BD90" s="77">
        <f>L90</f>
        <v>0.1</v>
      </c>
      <c r="BF90" s="77">
        <f>F90*AM90</f>
        <v>0</v>
      </c>
      <c r="BG90" s="77">
        <f>F90*AN90</f>
        <v>0</v>
      </c>
      <c r="BH90" s="77">
        <f>F90*G90</f>
        <v>0</v>
      </c>
      <c r="BI90" s="77"/>
      <c r="BJ90" s="77"/>
      <c r="BU90" s="77" t="e">
        <f>#REF!</f>
        <v>#REF!</v>
      </c>
      <c r="BV90" s="70" t="s">
        <v>1040</v>
      </c>
    </row>
    <row r="91" spans="1:74" ht="40.5" customHeight="1" thickBot="1" x14ac:dyDescent="0.3">
      <c r="A91" s="107"/>
      <c r="B91" s="108" t="s">
        <v>138</v>
      </c>
      <c r="C91" s="308" t="s">
        <v>1042</v>
      </c>
      <c r="D91" s="309"/>
      <c r="E91" s="309"/>
      <c r="F91" s="309"/>
      <c r="G91" s="309"/>
      <c r="H91" s="309"/>
      <c r="I91" s="309"/>
      <c r="J91" s="309"/>
      <c r="K91" s="309"/>
      <c r="L91" s="309"/>
      <c r="M91" s="310"/>
    </row>
    <row r="92" spans="1:74" x14ac:dyDescent="0.25">
      <c r="H92" s="311" t="s">
        <v>475</v>
      </c>
      <c r="I92" s="311"/>
      <c r="J92" s="84">
        <f>ROUND(J12+J23+J26+J35+J40+J49+J56+J59+J62+J65+J74+J77+J80+J86+J89,1)</f>
        <v>0</v>
      </c>
    </row>
    <row r="93" spans="1:74" x14ac:dyDescent="0.25">
      <c r="A93" s="85" t="s">
        <v>138</v>
      </c>
    </row>
    <row r="94" spans="1:74" ht="27" customHeight="1" x14ac:dyDescent="0.25">
      <c r="A94" s="306" t="s">
        <v>984</v>
      </c>
      <c r="B94" s="307"/>
      <c r="C94" s="307"/>
      <c r="D94" s="307"/>
      <c r="E94" s="307"/>
      <c r="F94" s="307"/>
      <c r="G94" s="307"/>
      <c r="H94" s="307"/>
      <c r="I94" s="307"/>
      <c r="J94" s="307"/>
      <c r="K94" s="307"/>
      <c r="L94" s="307"/>
      <c r="M94" s="307"/>
    </row>
  </sheetData>
  <sheetProtection algorithmName="SHA-512" hashValue="HL0Y/2j9B3hymO5d0UUO6JcwEeC3rYfmIdWCmkWsg3Yf2adzpsB4HeIZqPaJ13JWSJhG3cdur3ThJFBjSzoG+w==" saltValue="5R6cXyIUmNXwtU200kpvLQ==" spinCount="100000" sheet="1" formatCells="0" formatColumns="0" formatRows="0" insertColumns="0" insertRows="0" insertHyperlinks="0"/>
  <mergeCells count="111">
    <mergeCell ref="H92:I92"/>
    <mergeCell ref="A94:M94"/>
    <mergeCell ref="C86:D86"/>
    <mergeCell ref="C87:D87"/>
    <mergeCell ref="C88:D88"/>
    <mergeCell ref="C89:D89"/>
    <mergeCell ref="C90:D90"/>
    <mergeCell ref="C91:M91"/>
    <mergeCell ref="C80:D80"/>
    <mergeCell ref="C81:D81"/>
    <mergeCell ref="C82:D82"/>
    <mergeCell ref="C83:M83"/>
    <mergeCell ref="C84:D84"/>
    <mergeCell ref="C85:M85"/>
    <mergeCell ref="C74:D74"/>
    <mergeCell ref="C75:D75"/>
    <mergeCell ref="C76:M76"/>
    <mergeCell ref="C77:D77"/>
    <mergeCell ref="C78:D78"/>
    <mergeCell ref="C79:M79"/>
    <mergeCell ref="C68:D68"/>
    <mergeCell ref="C69:M69"/>
    <mergeCell ref="C70:D70"/>
    <mergeCell ref="C71:M71"/>
    <mergeCell ref="C72:D72"/>
    <mergeCell ref="C73:M73"/>
    <mergeCell ref="C62:D62"/>
    <mergeCell ref="C63:D63"/>
    <mergeCell ref="C64:M64"/>
    <mergeCell ref="C65:D65"/>
    <mergeCell ref="C66:D66"/>
    <mergeCell ref="C67:M67"/>
    <mergeCell ref="C56:D56"/>
    <mergeCell ref="C57:D57"/>
    <mergeCell ref="C58:M58"/>
    <mergeCell ref="C59:D59"/>
    <mergeCell ref="C60:D60"/>
    <mergeCell ref="C61:M61"/>
    <mergeCell ref="C50:D50"/>
    <mergeCell ref="C51:M51"/>
    <mergeCell ref="C52:D52"/>
    <mergeCell ref="C53:M53"/>
    <mergeCell ref="C54:D54"/>
    <mergeCell ref="C55:M55"/>
    <mergeCell ref="C44:M44"/>
    <mergeCell ref="C45:D45"/>
    <mergeCell ref="C46:M46"/>
    <mergeCell ref="C47:D47"/>
    <mergeCell ref="C48:M48"/>
    <mergeCell ref="C49:D49"/>
    <mergeCell ref="C38:D38"/>
    <mergeCell ref="C39:M39"/>
    <mergeCell ref="C40:D40"/>
    <mergeCell ref="C41:D41"/>
    <mergeCell ref="C42:M42"/>
    <mergeCell ref="C43:D43"/>
    <mergeCell ref="C32:M32"/>
    <mergeCell ref="C33:D33"/>
    <mergeCell ref="C34:M34"/>
    <mergeCell ref="C35:D35"/>
    <mergeCell ref="C36:D36"/>
    <mergeCell ref="C37:M37"/>
    <mergeCell ref="C26:D26"/>
    <mergeCell ref="C27:D27"/>
    <mergeCell ref="C28:M28"/>
    <mergeCell ref="C29:D29"/>
    <mergeCell ref="C30:M30"/>
    <mergeCell ref="C31:D31"/>
    <mergeCell ref="C20:M20"/>
    <mergeCell ref="C21:D21"/>
    <mergeCell ref="C22:M22"/>
    <mergeCell ref="C23:D23"/>
    <mergeCell ref="C24:D24"/>
    <mergeCell ref="C25:M25"/>
    <mergeCell ref="I6:M7"/>
    <mergeCell ref="H8:H9"/>
    <mergeCell ref="I8:M9"/>
    <mergeCell ref="C14:M14"/>
    <mergeCell ref="C15:D15"/>
    <mergeCell ref="C16:M16"/>
    <mergeCell ref="C17:D17"/>
    <mergeCell ref="C18:M18"/>
    <mergeCell ref="C19:D19"/>
    <mergeCell ref="C10:D10"/>
    <mergeCell ref="H10:J10"/>
    <mergeCell ref="K10:L10"/>
    <mergeCell ref="C11:D11"/>
    <mergeCell ref="C12:D12"/>
    <mergeCell ref="C13:D13"/>
    <mergeCell ref="A8:B9"/>
    <mergeCell ref="C8:D9"/>
    <mergeCell ref="E8:F9"/>
    <mergeCell ref="G8:G9"/>
    <mergeCell ref="A6:B7"/>
    <mergeCell ref="C6:D7"/>
    <mergeCell ref="E6:F7"/>
    <mergeCell ref="G6:G7"/>
    <mergeCell ref="H6:H7"/>
    <mergeCell ref="A4:B5"/>
    <mergeCell ref="C4:D5"/>
    <mergeCell ref="E4:F5"/>
    <mergeCell ref="G4:G5"/>
    <mergeCell ref="A1:M1"/>
    <mergeCell ref="A2:B3"/>
    <mergeCell ref="C2:D3"/>
    <mergeCell ref="E2:F3"/>
    <mergeCell ref="G2:G3"/>
    <mergeCell ref="H2:H3"/>
    <mergeCell ref="I2:M3"/>
    <mergeCell ref="H4:H5"/>
    <mergeCell ref="I4:M5"/>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3" manualBreakCount="3">
    <brk id="28" max="12" man="1"/>
    <brk id="53" max="12" man="1"/>
    <brk id="79" max="12" man="1"/>
  </rowBreaks>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65636D-BAB4-4C7A-AA65-D1417F81AFAA}">
  <sheetPr codeName="List14">
    <pageSetUpPr fitToPage="1"/>
  </sheetPr>
  <dimension ref="A1:BV182"/>
  <sheetViews>
    <sheetView view="pageBreakPreview" zoomScale="40" zoomScaleNormal="55" zoomScaleSheetLayoutView="40" workbookViewId="0">
      <pane ySplit="11" topLeftCell="A12" activePane="bottomLeft" state="frozen"/>
      <selection activeCell="D44" sqref="D44"/>
      <selection pane="bottomLeft" activeCell="C44" sqref="C44:D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85</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810</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96</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479</v>
      </c>
      <c r="C12" s="318" t="s">
        <v>336</v>
      </c>
      <c r="D12" s="319"/>
      <c r="E12" s="99" t="s">
        <v>87</v>
      </c>
      <c r="F12" s="99" t="s">
        <v>87</v>
      </c>
      <c r="G12" s="99" t="s">
        <v>87</v>
      </c>
      <c r="H12" s="100">
        <f>SUM(H13:H13)</f>
        <v>0</v>
      </c>
      <c r="I12" s="100">
        <f>SUM(I13:I13)</f>
        <v>0</v>
      </c>
      <c r="J12" s="100">
        <f>SUM(J13:J13)</f>
        <v>0</v>
      </c>
      <c r="K12" s="101" t="s">
        <v>129</v>
      </c>
      <c r="L12" s="100">
        <f>SUM(L13:L13)</f>
        <v>0.2</v>
      </c>
      <c r="M12" s="102" t="s">
        <v>129</v>
      </c>
      <c r="AG12" s="71" t="s">
        <v>129</v>
      </c>
      <c r="AQ12" s="67">
        <f>SUM(AH13:AH13)</f>
        <v>0</v>
      </c>
      <c r="AR12" s="67">
        <f>SUM(AI13:AI13)</f>
        <v>0</v>
      </c>
      <c r="AS12" s="67">
        <f>SUM(AJ13:AJ13)</f>
        <v>0</v>
      </c>
    </row>
    <row r="13" spans="1:74" x14ac:dyDescent="0.25">
      <c r="A13" s="92" t="s">
        <v>132</v>
      </c>
      <c r="B13" s="69" t="s">
        <v>811</v>
      </c>
      <c r="C13" s="306" t="s">
        <v>812</v>
      </c>
      <c r="D13" s="307"/>
      <c r="E13" s="69" t="s">
        <v>482</v>
      </c>
      <c r="F13" s="77">
        <v>2</v>
      </c>
      <c r="G13" s="218">
        <v>0</v>
      </c>
      <c r="H13" s="77">
        <f>F13*AM13</f>
        <v>0</v>
      </c>
      <c r="I13" s="77">
        <f>F13*AN13</f>
        <v>0</v>
      </c>
      <c r="J13" s="77">
        <f>F13*G13</f>
        <v>0</v>
      </c>
      <c r="K13" s="77">
        <v>0.1</v>
      </c>
      <c r="L13" s="77">
        <f>F13*K13</f>
        <v>0.2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G13*0.183818311</f>
        <v>0</v>
      </c>
      <c r="AN13" s="77">
        <f>G13*(1-0.183818311)</f>
        <v>0</v>
      </c>
      <c r="AO13" s="79" t="s">
        <v>132</v>
      </c>
      <c r="AT13" s="77">
        <f>AU13+AV13</f>
        <v>0</v>
      </c>
      <c r="AU13" s="77">
        <f>F13*AM13</f>
        <v>0</v>
      </c>
      <c r="AV13" s="77">
        <f>F13*AN13</f>
        <v>0</v>
      </c>
      <c r="AW13" s="79" t="s">
        <v>483</v>
      </c>
      <c r="AX13" s="79" t="s">
        <v>136</v>
      </c>
      <c r="AY13" s="71" t="s">
        <v>137</v>
      </c>
      <c r="BA13" s="77">
        <f>AU13+AV13</f>
        <v>0</v>
      </c>
      <c r="BB13" s="77">
        <f>G13/(100-BC13)*100</f>
        <v>0</v>
      </c>
      <c r="BC13" s="77">
        <v>0</v>
      </c>
      <c r="BD13" s="77">
        <f>L13</f>
        <v>0.2</v>
      </c>
      <c r="BF13" s="77">
        <f>F13*AM13</f>
        <v>0</v>
      </c>
      <c r="BG13" s="77">
        <f>F13*AN13</f>
        <v>0</v>
      </c>
      <c r="BH13" s="77">
        <f>F13*G13</f>
        <v>0</v>
      </c>
      <c r="BI13" s="77"/>
      <c r="BJ13" s="77"/>
      <c r="BU13" s="77" t="e">
        <f>#REF!</f>
        <v>#REF!</v>
      </c>
      <c r="BV13" s="70" t="s">
        <v>812</v>
      </c>
    </row>
    <row r="14" spans="1:74" ht="40.5" customHeight="1" x14ac:dyDescent="0.25">
      <c r="A14" s="104"/>
      <c r="B14" s="81" t="s">
        <v>138</v>
      </c>
      <c r="C14" s="303" t="s">
        <v>813</v>
      </c>
      <c r="D14" s="304"/>
      <c r="E14" s="304"/>
      <c r="F14" s="304"/>
      <c r="G14" s="304"/>
      <c r="H14" s="304"/>
      <c r="I14" s="304"/>
      <c r="J14" s="304"/>
      <c r="K14" s="304"/>
      <c r="L14" s="304"/>
      <c r="M14" s="305"/>
    </row>
    <row r="15" spans="1:74" x14ac:dyDescent="0.25">
      <c r="A15" s="105" t="s">
        <v>129</v>
      </c>
      <c r="B15" s="74" t="s">
        <v>130</v>
      </c>
      <c r="C15" s="314" t="s">
        <v>131</v>
      </c>
      <c r="D15" s="315"/>
      <c r="E15" s="75" t="s">
        <v>87</v>
      </c>
      <c r="F15" s="75" t="s">
        <v>87</v>
      </c>
      <c r="G15" s="75" t="s">
        <v>87</v>
      </c>
      <c r="H15" s="67">
        <f>SUM(H16:H16)</f>
        <v>0</v>
      </c>
      <c r="I15" s="67">
        <f>SUM(I16:I16)</f>
        <v>0</v>
      </c>
      <c r="J15" s="67">
        <f>SUM(J16:J16)</f>
        <v>0</v>
      </c>
      <c r="K15" s="71" t="s">
        <v>129</v>
      </c>
      <c r="L15" s="67">
        <f>SUM(L16:L16)</f>
        <v>0</v>
      </c>
      <c r="M15" s="106" t="s">
        <v>129</v>
      </c>
      <c r="AG15" s="71" t="s">
        <v>129</v>
      </c>
      <c r="AQ15" s="67">
        <f>SUM(AH16:AH16)</f>
        <v>0</v>
      </c>
      <c r="AR15" s="67">
        <f>SUM(AI16:AI16)</f>
        <v>0</v>
      </c>
      <c r="AS15" s="67">
        <f>SUM(AJ16:AJ16)</f>
        <v>0</v>
      </c>
    </row>
    <row r="16" spans="1:74" x14ac:dyDescent="0.25">
      <c r="A16" s="92" t="s">
        <v>142</v>
      </c>
      <c r="B16" s="69" t="s">
        <v>133</v>
      </c>
      <c r="C16" s="306" t="s">
        <v>134</v>
      </c>
      <c r="D16" s="307"/>
      <c r="E16" s="69" t="s">
        <v>135</v>
      </c>
      <c r="F16" s="77">
        <v>2</v>
      </c>
      <c r="G16" s="218">
        <v>0</v>
      </c>
      <c r="H16" s="77">
        <f>F16*AM16</f>
        <v>0</v>
      </c>
      <c r="I16" s="77">
        <f>F16*AN16</f>
        <v>0</v>
      </c>
      <c r="J16" s="77">
        <f>F16*G16</f>
        <v>0</v>
      </c>
      <c r="K16" s="77">
        <v>0</v>
      </c>
      <c r="L16" s="77">
        <f>F16*K16</f>
        <v>0</v>
      </c>
      <c r="M16" s="103" t="s">
        <v>129</v>
      </c>
      <c r="X16" s="77">
        <f>IF(AO16="5",BH16,0)</f>
        <v>0</v>
      </c>
      <c r="Z16" s="77">
        <f>IF(AO16="1",BF16,0)</f>
        <v>0</v>
      </c>
      <c r="AA16" s="77">
        <f>IF(AO16="1",BG16,0)</f>
        <v>0</v>
      </c>
      <c r="AB16" s="77">
        <f>IF(AO16="7",BF16,0)</f>
        <v>0</v>
      </c>
      <c r="AC16" s="77">
        <f>IF(AO16="7",BG16,0)</f>
        <v>0</v>
      </c>
      <c r="AD16" s="77">
        <f>IF(AO16="2",BF16,0)</f>
        <v>0</v>
      </c>
      <c r="AE16" s="77">
        <f>IF(AO16="2",BG16,0)</f>
        <v>0</v>
      </c>
      <c r="AF16" s="77">
        <f>IF(AO16="0",BH16,0)</f>
        <v>0</v>
      </c>
      <c r="AG16" s="71" t="s">
        <v>129</v>
      </c>
      <c r="AH16" s="77">
        <f>IF(AL16=0,J16,0)</f>
        <v>0</v>
      </c>
      <c r="AI16" s="77">
        <f>IF(AL16=15,J16,0)</f>
        <v>0</v>
      </c>
      <c r="AJ16" s="77">
        <f>IF(AL16=21,J16,0)</f>
        <v>0</v>
      </c>
      <c r="AL16" s="77">
        <v>15</v>
      </c>
      <c r="AM16" s="77">
        <f>G16*0.125865324</f>
        <v>0</v>
      </c>
      <c r="AN16" s="77">
        <f>G16*(1-0.125865324)</f>
        <v>0</v>
      </c>
      <c r="AO16" s="79" t="s">
        <v>132</v>
      </c>
      <c r="AT16" s="77">
        <f>AU16+AV16</f>
        <v>0</v>
      </c>
      <c r="AU16" s="77">
        <f>F16*AM16</f>
        <v>0</v>
      </c>
      <c r="AV16" s="77">
        <f>F16*AN16</f>
        <v>0</v>
      </c>
      <c r="AW16" s="79" t="s">
        <v>136</v>
      </c>
      <c r="AX16" s="79" t="s">
        <v>136</v>
      </c>
      <c r="AY16" s="71" t="s">
        <v>137</v>
      </c>
      <c r="BA16" s="77">
        <f>AU16+AV16</f>
        <v>0</v>
      </c>
      <c r="BB16" s="77">
        <f>G16/(100-BC16)*100</f>
        <v>0</v>
      </c>
      <c r="BC16" s="77">
        <v>0</v>
      </c>
      <c r="BD16" s="77">
        <f>L16</f>
        <v>0</v>
      </c>
      <c r="BF16" s="77">
        <f>F16*AM16</f>
        <v>0</v>
      </c>
      <c r="BG16" s="77">
        <f>F16*AN16</f>
        <v>0</v>
      </c>
      <c r="BH16" s="77">
        <f>F16*G16</f>
        <v>0</v>
      </c>
      <c r="BI16" s="77"/>
      <c r="BJ16" s="77">
        <v>0</v>
      </c>
      <c r="BU16" s="77" t="e">
        <f>#REF!</f>
        <v>#REF!</v>
      </c>
      <c r="BV16" s="70" t="s">
        <v>134</v>
      </c>
    </row>
    <row r="17" spans="1:74" ht="40.5" customHeight="1" x14ac:dyDescent="0.25">
      <c r="A17" s="104"/>
      <c r="B17" s="81" t="s">
        <v>138</v>
      </c>
      <c r="C17" s="303" t="s">
        <v>139</v>
      </c>
      <c r="D17" s="304"/>
      <c r="E17" s="304"/>
      <c r="F17" s="304"/>
      <c r="G17" s="304"/>
      <c r="H17" s="304"/>
      <c r="I17" s="304"/>
      <c r="J17" s="304"/>
      <c r="K17" s="304"/>
      <c r="L17" s="304"/>
      <c r="M17" s="305"/>
    </row>
    <row r="18" spans="1:74" x14ac:dyDescent="0.25">
      <c r="A18" s="105" t="s">
        <v>129</v>
      </c>
      <c r="B18" s="74" t="s">
        <v>140</v>
      </c>
      <c r="C18" s="314" t="s">
        <v>141</v>
      </c>
      <c r="D18" s="315"/>
      <c r="E18" s="75" t="s">
        <v>87</v>
      </c>
      <c r="F18" s="75" t="s">
        <v>87</v>
      </c>
      <c r="G18" s="75" t="s">
        <v>87</v>
      </c>
      <c r="H18" s="67">
        <f>SUM(H19:H31)</f>
        <v>0</v>
      </c>
      <c r="I18" s="67">
        <f>SUM(I19:I31)</f>
        <v>0</v>
      </c>
      <c r="J18" s="67">
        <f>SUM(J19:J31)</f>
        <v>0</v>
      </c>
      <c r="K18" s="71" t="s">
        <v>129</v>
      </c>
      <c r="L18" s="67">
        <f>SUM(L19:L31)</f>
        <v>17.889561</v>
      </c>
      <c r="M18" s="106" t="s">
        <v>129</v>
      </c>
      <c r="AG18" s="71" t="s">
        <v>129</v>
      </c>
      <c r="AQ18" s="67">
        <f>SUM(AH19:AH31)</f>
        <v>0</v>
      </c>
      <c r="AR18" s="67">
        <f>SUM(AI19:AI31)</f>
        <v>0</v>
      </c>
      <c r="AS18" s="67">
        <f>SUM(AJ19:AJ31)</f>
        <v>0</v>
      </c>
    </row>
    <row r="19" spans="1:74" x14ac:dyDescent="0.25">
      <c r="A19" s="92" t="s">
        <v>149</v>
      </c>
      <c r="B19" s="69" t="s">
        <v>154</v>
      </c>
      <c r="C19" s="306" t="s">
        <v>155</v>
      </c>
      <c r="D19" s="307"/>
      <c r="E19" s="69" t="s">
        <v>156</v>
      </c>
      <c r="F19" s="77">
        <v>16</v>
      </c>
      <c r="G19" s="218">
        <v>0</v>
      </c>
      <c r="H19" s="77">
        <f>F19*AM19</f>
        <v>0</v>
      </c>
      <c r="I19" s="77">
        <f>F19*AN19</f>
        <v>0</v>
      </c>
      <c r="J19" s="77">
        <f>F19*G19</f>
        <v>0</v>
      </c>
      <c r="K19" s="77">
        <v>4.0000000000000003E-5</v>
      </c>
      <c r="L19" s="77">
        <f>F19*K19</f>
        <v>6.4000000000000005E-4</v>
      </c>
      <c r="M19" s="103" t="s">
        <v>35</v>
      </c>
      <c r="X19" s="77">
        <f>IF(AO19="5",BH19,0)</f>
        <v>0</v>
      </c>
      <c r="Z19" s="77">
        <f>IF(AO19="1",BF19,0)</f>
        <v>0</v>
      </c>
      <c r="AA19" s="77">
        <f>IF(AO19="1",BG19,0)</f>
        <v>0</v>
      </c>
      <c r="AB19" s="77">
        <f>IF(AO19="7",BF19,0)</f>
        <v>0</v>
      </c>
      <c r="AC19" s="77">
        <f>IF(AO19="7",BG19,0)</f>
        <v>0</v>
      </c>
      <c r="AD19" s="77">
        <f>IF(AO19="2",BF19,0)</f>
        <v>0</v>
      </c>
      <c r="AE19" s="77">
        <f>IF(AO19="2",BG19,0)</f>
        <v>0</v>
      </c>
      <c r="AF19" s="77">
        <f>IF(AO19="0",BH19,0)</f>
        <v>0</v>
      </c>
      <c r="AG19" s="71" t="s">
        <v>129</v>
      </c>
      <c r="AH19" s="77">
        <f>IF(AL19=0,J19,0)</f>
        <v>0</v>
      </c>
      <c r="AI19" s="77">
        <f>IF(AL19=15,J19,0)</f>
        <v>0</v>
      </c>
      <c r="AJ19" s="77">
        <f>IF(AL19=21,J19,0)</f>
        <v>0</v>
      </c>
      <c r="AL19" s="77">
        <v>15</v>
      </c>
      <c r="AM19" s="77">
        <f>G19*0.005024155</f>
        <v>0</v>
      </c>
      <c r="AN19" s="77">
        <f>G19*(1-0.005024155)</f>
        <v>0</v>
      </c>
      <c r="AO19" s="79" t="s">
        <v>132</v>
      </c>
      <c r="AT19" s="77">
        <f>AU19+AV19</f>
        <v>0</v>
      </c>
      <c r="AU19" s="77">
        <f>F19*AM19</f>
        <v>0</v>
      </c>
      <c r="AV19" s="77">
        <f>F19*AN19</f>
        <v>0</v>
      </c>
      <c r="AW19" s="79" t="s">
        <v>146</v>
      </c>
      <c r="AX19" s="79" t="s">
        <v>147</v>
      </c>
      <c r="AY19" s="71" t="s">
        <v>137</v>
      </c>
      <c r="BA19" s="77">
        <f>AU19+AV19</f>
        <v>0</v>
      </c>
      <c r="BB19" s="77">
        <f>G19/(100-BC19)*100</f>
        <v>0</v>
      </c>
      <c r="BC19" s="77">
        <v>0</v>
      </c>
      <c r="BD19" s="77">
        <f>L19</f>
        <v>6.4000000000000005E-4</v>
      </c>
      <c r="BF19" s="77">
        <f>F19*AM19</f>
        <v>0</v>
      </c>
      <c r="BG19" s="77">
        <f>F19*AN19</f>
        <v>0</v>
      </c>
      <c r="BH19" s="77">
        <f>F19*G19</f>
        <v>0</v>
      </c>
      <c r="BI19" s="77"/>
      <c r="BJ19" s="77">
        <v>11</v>
      </c>
      <c r="BU19" s="77" t="e">
        <f>#REF!</f>
        <v>#REF!</v>
      </c>
      <c r="BV19" s="70" t="s">
        <v>155</v>
      </c>
    </row>
    <row r="20" spans="1:74" ht="40.5" customHeight="1" x14ac:dyDescent="0.25">
      <c r="A20" s="104"/>
      <c r="B20" s="81" t="s">
        <v>138</v>
      </c>
      <c r="C20" s="303" t="s">
        <v>157</v>
      </c>
      <c r="D20" s="304"/>
      <c r="E20" s="304"/>
      <c r="F20" s="304"/>
      <c r="G20" s="304"/>
      <c r="H20" s="304"/>
      <c r="I20" s="304"/>
      <c r="J20" s="304"/>
      <c r="K20" s="304"/>
      <c r="L20" s="304"/>
      <c r="M20" s="305"/>
    </row>
    <row r="21" spans="1:74" x14ac:dyDescent="0.25">
      <c r="A21" s="92" t="s">
        <v>153</v>
      </c>
      <c r="B21" s="69" t="s">
        <v>159</v>
      </c>
      <c r="C21" s="306" t="s">
        <v>160</v>
      </c>
      <c r="D21" s="307"/>
      <c r="E21" s="69" t="s">
        <v>161</v>
      </c>
      <c r="F21" s="77">
        <v>2</v>
      </c>
      <c r="G21" s="218">
        <v>0</v>
      </c>
      <c r="H21" s="77">
        <f>F21*AM21</f>
        <v>0</v>
      </c>
      <c r="I21" s="77">
        <f>F21*AN21</f>
        <v>0</v>
      </c>
      <c r="J21" s="77">
        <f>F21*G21</f>
        <v>0</v>
      </c>
      <c r="K21" s="77">
        <v>0</v>
      </c>
      <c r="L21" s="77">
        <f>F21*K21</f>
        <v>0</v>
      </c>
      <c r="M21" s="103" t="s">
        <v>35</v>
      </c>
      <c r="X21" s="77">
        <f>IF(AO21="5",BH21,0)</f>
        <v>0</v>
      </c>
      <c r="Z21" s="77">
        <f>IF(AO21="1",BF21,0)</f>
        <v>0</v>
      </c>
      <c r="AA21" s="77">
        <f>IF(AO21="1",BG21,0)</f>
        <v>0</v>
      </c>
      <c r="AB21" s="77">
        <f>IF(AO21="7",BF21,0)</f>
        <v>0</v>
      </c>
      <c r="AC21" s="77">
        <f>IF(AO21="7",BG21,0)</f>
        <v>0</v>
      </c>
      <c r="AD21" s="77">
        <f>IF(AO21="2",BF21,0)</f>
        <v>0</v>
      </c>
      <c r="AE21" s="77">
        <f>IF(AO21="2",BG21,0)</f>
        <v>0</v>
      </c>
      <c r="AF21" s="77">
        <f>IF(AO21="0",BH21,0)</f>
        <v>0</v>
      </c>
      <c r="AG21" s="71" t="s">
        <v>129</v>
      </c>
      <c r="AH21" s="77">
        <f>IF(AL21=0,J21,0)</f>
        <v>0</v>
      </c>
      <c r="AI21" s="77">
        <f>IF(AL21=15,J21,0)</f>
        <v>0</v>
      </c>
      <c r="AJ21" s="77">
        <f>IF(AL21=21,J21,0)</f>
        <v>0</v>
      </c>
      <c r="AL21" s="77">
        <v>15</v>
      </c>
      <c r="AM21" s="77">
        <f>G21*0</f>
        <v>0</v>
      </c>
      <c r="AN21" s="77">
        <f>G21*(1-0)</f>
        <v>0</v>
      </c>
      <c r="AO21" s="79" t="s">
        <v>132</v>
      </c>
      <c r="AT21" s="77">
        <f>AU21+AV21</f>
        <v>0</v>
      </c>
      <c r="AU21" s="77">
        <f>F21*AM21</f>
        <v>0</v>
      </c>
      <c r="AV21" s="77">
        <f>F21*AN21</f>
        <v>0</v>
      </c>
      <c r="AW21" s="79" t="s">
        <v>146</v>
      </c>
      <c r="AX21" s="79" t="s">
        <v>147</v>
      </c>
      <c r="AY21" s="71" t="s">
        <v>137</v>
      </c>
      <c r="BA21" s="77">
        <f>AU21+AV21</f>
        <v>0</v>
      </c>
      <c r="BB21" s="77">
        <f>G21/(100-BC21)*100</f>
        <v>0</v>
      </c>
      <c r="BC21" s="77">
        <v>0</v>
      </c>
      <c r="BD21" s="77">
        <f>L21</f>
        <v>0</v>
      </c>
      <c r="BF21" s="77">
        <f>F21*AM21</f>
        <v>0</v>
      </c>
      <c r="BG21" s="77">
        <f>F21*AN21</f>
        <v>0</v>
      </c>
      <c r="BH21" s="77">
        <f>F21*G21</f>
        <v>0</v>
      </c>
      <c r="BI21" s="77"/>
      <c r="BJ21" s="77">
        <v>11</v>
      </c>
      <c r="BU21" s="77" t="e">
        <f>#REF!</f>
        <v>#REF!</v>
      </c>
      <c r="BV21" s="70" t="s">
        <v>160</v>
      </c>
    </row>
    <row r="22" spans="1:74" ht="40.5" customHeight="1" x14ac:dyDescent="0.25">
      <c r="A22" s="104"/>
      <c r="B22" s="81" t="s">
        <v>138</v>
      </c>
      <c r="C22" s="303" t="s">
        <v>814</v>
      </c>
      <c r="D22" s="304"/>
      <c r="E22" s="304"/>
      <c r="F22" s="304"/>
      <c r="G22" s="304"/>
      <c r="H22" s="304"/>
      <c r="I22" s="304"/>
      <c r="J22" s="304"/>
      <c r="K22" s="304"/>
      <c r="L22" s="304"/>
      <c r="M22" s="305"/>
    </row>
    <row r="23" spans="1:74" x14ac:dyDescent="0.25">
      <c r="A23" s="92" t="s">
        <v>158</v>
      </c>
      <c r="B23" s="69" t="s">
        <v>493</v>
      </c>
      <c r="C23" s="306" t="s">
        <v>494</v>
      </c>
      <c r="D23" s="307"/>
      <c r="E23" s="69" t="s">
        <v>166</v>
      </c>
      <c r="F23" s="77">
        <v>1.82</v>
      </c>
      <c r="G23" s="218">
        <v>0</v>
      </c>
      <c r="H23" s="77">
        <f>F23*AM23</f>
        <v>0</v>
      </c>
      <c r="I23" s="77">
        <f>F23*AN23</f>
        <v>0</v>
      </c>
      <c r="J23" s="77">
        <f>F23*G23</f>
        <v>0</v>
      </c>
      <c r="K23" s="77">
        <v>0.90010000000000001</v>
      </c>
      <c r="L23" s="77">
        <f>F23*K23</f>
        <v>1.638182</v>
      </c>
      <c r="M23" s="103" t="s">
        <v>35</v>
      </c>
      <c r="X23" s="77">
        <f>IF(AO23="5",BH23,0)</f>
        <v>0</v>
      </c>
      <c r="Z23" s="77">
        <f>IF(AO23="1",BF23,0)</f>
        <v>0</v>
      </c>
      <c r="AA23" s="77">
        <f>IF(AO23="1",BG23,0)</f>
        <v>0</v>
      </c>
      <c r="AB23" s="77">
        <f>IF(AO23="7",BF23,0)</f>
        <v>0</v>
      </c>
      <c r="AC23" s="77">
        <f>IF(AO23="7",BG23,0)</f>
        <v>0</v>
      </c>
      <c r="AD23" s="77">
        <f>IF(AO23="2",BF23,0)</f>
        <v>0</v>
      </c>
      <c r="AE23" s="77">
        <f>IF(AO23="2",BG23,0)</f>
        <v>0</v>
      </c>
      <c r="AF23" s="77">
        <f>IF(AO23="0",BH23,0)</f>
        <v>0</v>
      </c>
      <c r="AG23" s="71" t="s">
        <v>129</v>
      </c>
      <c r="AH23" s="77">
        <f>IF(AL23=0,J23,0)</f>
        <v>0</v>
      </c>
      <c r="AI23" s="77">
        <f>IF(AL23=15,J23,0)</f>
        <v>0</v>
      </c>
      <c r="AJ23" s="77">
        <f>IF(AL23=21,J23,0)</f>
        <v>0</v>
      </c>
      <c r="AL23" s="77">
        <v>15</v>
      </c>
      <c r="AM23" s="77">
        <f>G23*0.006611336</f>
        <v>0</v>
      </c>
      <c r="AN23" s="77">
        <f>G23*(1-0.006611336)</f>
        <v>0</v>
      </c>
      <c r="AO23" s="79" t="s">
        <v>132</v>
      </c>
      <c r="AT23" s="77">
        <f>AU23+AV23</f>
        <v>0</v>
      </c>
      <c r="AU23" s="77">
        <f>F23*AM23</f>
        <v>0</v>
      </c>
      <c r="AV23" s="77">
        <f>F23*AN23</f>
        <v>0</v>
      </c>
      <c r="AW23" s="79" t="s">
        <v>146</v>
      </c>
      <c r="AX23" s="79" t="s">
        <v>147</v>
      </c>
      <c r="AY23" s="71" t="s">
        <v>137</v>
      </c>
      <c r="BA23" s="77">
        <f>AU23+AV23</f>
        <v>0</v>
      </c>
      <c r="BB23" s="77">
        <f>G23/(100-BC23)*100</f>
        <v>0</v>
      </c>
      <c r="BC23" s="77">
        <v>0</v>
      </c>
      <c r="BD23" s="77">
        <f>L23</f>
        <v>1.638182</v>
      </c>
      <c r="BF23" s="77">
        <f>F23*AM23</f>
        <v>0</v>
      </c>
      <c r="BG23" s="77">
        <f>F23*AN23</f>
        <v>0</v>
      </c>
      <c r="BH23" s="77">
        <f>F23*G23</f>
        <v>0</v>
      </c>
      <c r="BI23" s="77"/>
      <c r="BJ23" s="77">
        <v>11</v>
      </c>
      <c r="BU23" s="77" t="e">
        <f>#REF!</f>
        <v>#REF!</v>
      </c>
      <c r="BV23" s="70" t="s">
        <v>494</v>
      </c>
    </row>
    <row r="24" spans="1:74" ht="162" customHeight="1" x14ac:dyDescent="0.25">
      <c r="A24" s="104"/>
      <c r="B24" s="81" t="s">
        <v>138</v>
      </c>
      <c r="C24" s="303" t="s">
        <v>815</v>
      </c>
      <c r="D24" s="304"/>
      <c r="E24" s="304"/>
      <c r="F24" s="304"/>
      <c r="G24" s="304"/>
      <c r="H24" s="304"/>
      <c r="I24" s="304"/>
      <c r="J24" s="304"/>
      <c r="K24" s="304"/>
      <c r="L24" s="304"/>
      <c r="M24" s="305"/>
    </row>
    <row r="25" spans="1:74" x14ac:dyDescent="0.25">
      <c r="A25" s="92" t="s">
        <v>163</v>
      </c>
      <c r="B25" s="69" t="s">
        <v>164</v>
      </c>
      <c r="C25" s="306" t="s">
        <v>816</v>
      </c>
      <c r="D25" s="307"/>
      <c r="E25" s="69" t="s">
        <v>166</v>
      </c>
      <c r="F25" s="77">
        <v>10.9</v>
      </c>
      <c r="G25" s="218">
        <v>0</v>
      </c>
      <c r="H25" s="77">
        <f>F25*AM25</f>
        <v>0</v>
      </c>
      <c r="I25" s="77">
        <f>F25*AN25</f>
        <v>0</v>
      </c>
      <c r="J25" s="77">
        <f>F25*G25</f>
        <v>0</v>
      </c>
      <c r="K25" s="77">
        <v>0.90051000000000003</v>
      </c>
      <c r="L25" s="77">
        <f>F25*K25</f>
        <v>9.8155590000000004</v>
      </c>
      <c r="M25" s="103" t="s">
        <v>35</v>
      </c>
      <c r="X25" s="77">
        <f>IF(AO25="5",BH25,0)</f>
        <v>0</v>
      </c>
      <c r="Z25" s="77">
        <f>IF(AO25="1",BF25,0)</f>
        <v>0</v>
      </c>
      <c r="AA25" s="77">
        <f>IF(AO25="1",BG25,0)</f>
        <v>0</v>
      </c>
      <c r="AB25" s="77">
        <f>IF(AO25="7",BF25,0)</f>
        <v>0</v>
      </c>
      <c r="AC25" s="77">
        <f>IF(AO25="7",BG25,0)</f>
        <v>0</v>
      </c>
      <c r="AD25" s="77">
        <f>IF(AO25="2",BF25,0)</f>
        <v>0</v>
      </c>
      <c r="AE25" s="77">
        <f>IF(AO25="2",BG25,0)</f>
        <v>0</v>
      </c>
      <c r="AF25" s="77">
        <f>IF(AO25="0",BH25,0)</f>
        <v>0</v>
      </c>
      <c r="AG25" s="71" t="s">
        <v>129</v>
      </c>
      <c r="AH25" s="77">
        <f>IF(AL25=0,J25,0)</f>
        <v>0</v>
      </c>
      <c r="AI25" s="77">
        <f>IF(AL25=15,J25,0)</f>
        <v>0</v>
      </c>
      <c r="AJ25" s="77">
        <f>IF(AL25=21,J25,0)</f>
        <v>0</v>
      </c>
      <c r="AL25" s="77">
        <v>15</v>
      </c>
      <c r="AM25" s="77">
        <f>G25*0.02194826</f>
        <v>0</v>
      </c>
      <c r="AN25" s="77">
        <f>G25*(1-0.02194826)</f>
        <v>0</v>
      </c>
      <c r="AO25" s="79" t="s">
        <v>132</v>
      </c>
      <c r="AT25" s="77">
        <f>AU25+AV25</f>
        <v>0</v>
      </c>
      <c r="AU25" s="77">
        <f>F25*AM25</f>
        <v>0</v>
      </c>
      <c r="AV25" s="77">
        <f>F25*AN25</f>
        <v>0</v>
      </c>
      <c r="AW25" s="79" t="s">
        <v>146</v>
      </c>
      <c r="AX25" s="79" t="s">
        <v>147</v>
      </c>
      <c r="AY25" s="71" t="s">
        <v>137</v>
      </c>
      <c r="BA25" s="77">
        <f>AU25+AV25</f>
        <v>0</v>
      </c>
      <c r="BB25" s="77">
        <f>G25/(100-BC25)*100</f>
        <v>0</v>
      </c>
      <c r="BC25" s="77">
        <v>0</v>
      </c>
      <c r="BD25" s="77">
        <f>L25</f>
        <v>9.8155590000000004</v>
      </c>
      <c r="BF25" s="77">
        <f>F25*AM25</f>
        <v>0</v>
      </c>
      <c r="BG25" s="77">
        <f>F25*AN25</f>
        <v>0</v>
      </c>
      <c r="BH25" s="77">
        <f>F25*G25</f>
        <v>0</v>
      </c>
      <c r="BI25" s="77"/>
      <c r="BJ25" s="77">
        <v>11</v>
      </c>
      <c r="BU25" s="77" t="e">
        <f>#REF!</f>
        <v>#REF!</v>
      </c>
      <c r="BV25" s="70" t="s">
        <v>816</v>
      </c>
    </row>
    <row r="26" spans="1:74" ht="162" customHeight="1" thickBot="1" x14ac:dyDescent="0.3">
      <c r="A26" s="107"/>
      <c r="B26" s="108" t="s">
        <v>138</v>
      </c>
      <c r="C26" s="308" t="s">
        <v>817</v>
      </c>
      <c r="D26" s="309"/>
      <c r="E26" s="309"/>
      <c r="F26" s="309"/>
      <c r="G26" s="309"/>
      <c r="H26" s="309"/>
      <c r="I26" s="309"/>
      <c r="J26" s="309"/>
      <c r="K26" s="309"/>
      <c r="L26" s="309"/>
      <c r="M26" s="310"/>
    </row>
    <row r="27" spans="1:74" x14ac:dyDescent="0.25">
      <c r="A27" s="122" t="s">
        <v>168</v>
      </c>
      <c r="B27" s="109" t="s">
        <v>728</v>
      </c>
      <c r="C27" s="312" t="s">
        <v>729</v>
      </c>
      <c r="D27" s="313"/>
      <c r="E27" s="109" t="s">
        <v>166</v>
      </c>
      <c r="F27" s="123">
        <v>10.38</v>
      </c>
      <c r="G27" s="219">
        <v>0</v>
      </c>
      <c r="H27" s="123">
        <f>F27*AM27</f>
        <v>0</v>
      </c>
      <c r="I27" s="123">
        <f>F27*AN27</f>
        <v>0</v>
      </c>
      <c r="J27" s="123">
        <f>F27*G27</f>
        <v>0</v>
      </c>
      <c r="K27" s="123">
        <v>0.50600000000000001</v>
      </c>
      <c r="L27" s="123">
        <f>F27*K27</f>
        <v>5.2522800000000007</v>
      </c>
      <c r="M27" s="124"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f>
        <v>0</v>
      </c>
      <c r="AN27" s="77">
        <f>G27*(1-0)</f>
        <v>0</v>
      </c>
      <c r="AO27" s="79" t="s">
        <v>132</v>
      </c>
      <c r="AT27" s="77">
        <f>AU27+AV27</f>
        <v>0</v>
      </c>
      <c r="AU27" s="77">
        <f>F27*AM27</f>
        <v>0</v>
      </c>
      <c r="AV27" s="77">
        <f>F27*AN27</f>
        <v>0</v>
      </c>
      <c r="AW27" s="79" t="s">
        <v>146</v>
      </c>
      <c r="AX27" s="79" t="s">
        <v>147</v>
      </c>
      <c r="AY27" s="71" t="s">
        <v>137</v>
      </c>
      <c r="BA27" s="77">
        <f>AU27+AV27</f>
        <v>0</v>
      </c>
      <c r="BB27" s="77">
        <f>G27/(100-BC27)*100</f>
        <v>0</v>
      </c>
      <c r="BC27" s="77">
        <v>0</v>
      </c>
      <c r="BD27" s="77">
        <f>L27</f>
        <v>5.2522800000000007</v>
      </c>
      <c r="BF27" s="77">
        <f>F27*AM27</f>
        <v>0</v>
      </c>
      <c r="BG27" s="77">
        <f>F27*AN27</f>
        <v>0</v>
      </c>
      <c r="BH27" s="77">
        <f>F27*G27</f>
        <v>0</v>
      </c>
      <c r="BI27" s="77"/>
      <c r="BJ27" s="77">
        <v>11</v>
      </c>
      <c r="BU27" s="77" t="e">
        <f>#REF!</f>
        <v>#REF!</v>
      </c>
      <c r="BV27" s="70" t="s">
        <v>729</v>
      </c>
    </row>
    <row r="28" spans="1:74" ht="67.5" customHeight="1" x14ac:dyDescent="0.25">
      <c r="A28" s="104"/>
      <c r="B28" s="81" t="s">
        <v>138</v>
      </c>
      <c r="C28" s="303" t="s">
        <v>818</v>
      </c>
      <c r="D28" s="304"/>
      <c r="E28" s="304"/>
      <c r="F28" s="304"/>
      <c r="G28" s="304"/>
      <c r="H28" s="304"/>
      <c r="I28" s="304"/>
      <c r="J28" s="304"/>
      <c r="K28" s="304"/>
      <c r="L28" s="304"/>
      <c r="M28" s="305"/>
    </row>
    <row r="29" spans="1:74" x14ac:dyDescent="0.25">
      <c r="A29" s="92" t="s">
        <v>174</v>
      </c>
      <c r="B29" s="69" t="s">
        <v>819</v>
      </c>
      <c r="C29" s="306" t="s">
        <v>820</v>
      </c>
      <c r="D29" s="307"/>
      <c r="E29" s="69" t="s">
        <v>166</v>
      </c>
      <c r="F29" s="77">
        <v>1.73</v>
      </c>
      <c r="G29" s="218">
        <v>0</v>
      </c>
      <c r="H29" s="77">
        <f>F29*AM29</f>
        <v>0</v>
      </c>
      <c r="I29" s="77">
        <f>F29*AN29</f>
        <v>0</v>
      </c>
      <c r="J29" s="77">
        <f>F29*G29</f>
        <v>0</v>
      </c>
      <c r="K29" s="77">
        <v>0.33</v>
      </c>
      <c r="L29" s="77">
        <f>F29*K29</f>
        <v>0.57090000000000007</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146</v>
      </c>
      <c r="AX29" s="79" t="s">
        <v>147</v>
      </c>
      <c r="AY29" s="71" t="s">
        <v>137</v>
      </c>
      <c r="BA29" s="77">
        <f>AU29+AV29</f>
        <v>0</v>
      </c>
      <c r="BB29" s="77">
        <f>G29/(100-BC29)*100</f>
        <v>0</v>
      </c>
      <c r="BC29" s="77">
        <v>0</v>
      </c>
      <c r="BD29" s="77">
        <f>L29</f>
        <v>0.57090000000000007</v>
      </c>
      <c r="BF29" s="77">
        <f>F29*AM29</f>
        <v>0</v>
      </c>
      <c r="BG29" s="77">
        <f>F29*AN29</f>
        <v>0</v>
      </c>
      <c r="BH29" s="77">
        <f>F29*G29</f>
        <v>0</v>
      </c>
      <c r="BI29" s="77"/>
      <c r="BJ29" s="77">
        <v>11</v>
      </c>
      <c r="BU29" s="77" t="e">
        <f>#REF!</f>
        <v>#REF!</v>
      </c>
      <c r="BV29" s="70" t="s">
        <v>820</v>
      </c>
    </row>
    <row r="30" spans="1:74" ht="67.5" customHeight="1" x14ac:dyDescent="0.25">
      <c r="A30" s="104"/>
      <c r="B30" s="81" t="s">
        <v>138</v>
      </c>
      <c r="C30" s="303" t="s">
        <v>821</v>
      </c>
      <c r="D30" s="304"/>
      <c r="E30" s="304"/>
      <c r="F30" s="304"/>
      <c r="G30" s="304"/>
      <c r="H30" s="304"/>
      <c r="I30" s="304"/>
      <c r="J30" s="304"/>
      <c r="K30" s="304"/>
      <c r="L30" s="304"/>
      <c r="M30" s="305"/>
    </row>
    <row r="31" spans="1:74" x14ac:dyDescent="0.25">
      <c r="A31" s="92" t="s">
        <v>182</v>
      </c>
      <c r="B31" s="69" t="s">
        <v>822</v>
      </c>
      <c r="C31" s="306" t="s">
        <v>823</v>
      </c>
      <c r="D31" s="307"/>
      <c r="E31" s="69" t="s">
        <v>145</v>
      </c>
      <c r="F31" s="77">
        <v>1.5</v>
      </c>
      <c r="G31" s="218">
        <v>0</v>
      </c>
      <c r="H31" s="77">
        <f>F31*AM31</f>
        <v>0</v>
      </c>
      <c r="I31" s="77">
        <f>F31*AN31</f>
        <v>0</v>
      </c>
      <c r="J31" s="77">
        <f>F31*G31</f>
        <v>0</v>
      </c>
      <c r="K31" s="77">
        <v>0.40799999999999997</v>
      </c>
      <c r="L31" s="77">
        <f>F31*K31</f>
        <v>0.61199999999999999</v>
      </c>
      <c r="M31" s="103" t="s">
        <v>35</v>
      </c>
      <c r="X31" s="77">
        <f>IF(AO31="5",BH31,0)</f>
        <v>0</v>
      </c>
      <c r="Z31" s="77">
        <f>IF(AO31="1",BF31,0)</f>
        <v>0</v>
      </c>
      <c r="AA31" s="77">
        <f>IF(AO31="1",BG31,0)</f>
        <v>0</v>
      </c>
      <c r="AB31" s="77">
        <f>IF(AO31="7",BF31,0)</f>
        <v>0</v>
      </c>
      <c r="AC31" s="77">
        <f>IF(AO31="7",BG31,0)</f>
        <v>0</v>
      </c>
      <c r="AD31" s="77">
        <f>IF(AO31="2",BF31,0)</f>
        <v>0</v>
      </c>
      <c r="AE31" s="77">
        <f>IF(AO31="2",BG31,0)</f>
        <v>0</v>
      </c>
      <c r="AF31" s="77">
        <f>IF(AO31="0",BH31,0)</f>
        <v>0</v>
      </c>
      <c r="AG31" s="71" t="s">
        <v>129</v>
      </c>
      <c r="AH31" s="77">
        <f>IF(AL31=0,J31,0)</f>
        <v>0</v>
      </c>
      <c r="AI31" s="77">
        <f>IF(AL31=15,J31,0)</f>
        <v>0</v>
      </c>
      <c r="AJ31" s="77">
        <f>IF(AL31=21,J31,0)</f>
        <v>0</v>
      </c>
      <c r="AL31" s="77">
        <v>15</v>
      </c>
      <c r="AM31" s="77">
        <f>G31*0</f>
        <v>0</v>
      </c>
      <c r="AN31" s="77">
        <f>G31*(1-0)</f>
        <v>0</v>
      </c>
      <c r="AO31" s="79" t="s">
        <v>132</v>
      </c>
      <c r="AT31" s="77">
        <f>AU31+AV31</f>
        <v>0</v>
      </c>
      <c r="AU31" s="77">
        <f>F31*AM31</f>
        <v>0</v>
      </c>
      <c r="AV31" s="77">
        <f>F31*AN31</f>
        <v>0</v>
      </c>
      <c r="AW31" s="79" t="s">
        <v>146</v>
      </c>
      <c r="AX31" s="79" t="s">
        <v>147</v>
      </c>
      <c r="AY31" s="71" t="s">
        <v>137</v>
      </c>
      <c r="BA31" s="77">
        <f>AU31+AV31</f>
        <v>0</v>
      </c>
      <c r="BB31" s="77">
        <f>G31/(100-BC31)*100</f>
        <v>0</v>
      </c>
      <c r="BC31" s="77">
        <v>0</v>
      </c>
      <c r="BD31" s="77">
        <f>L31</f>
        <v>0.61199999999999999</v>
      </c>
      <c r="BF31" s="77">
        <f>F31*AM31</f>
        <v>0</v>
      </c>
      <c r="BG31" s="77">
        <f>F31*AN31</f>
        <v>0</v>
      </c>
      <c r="BH31" s="77">
        <f>F31*G31</f>
        <v>0</v>
      </c>
      <c r="BI31" s="77"/>
      <c r="BJ31" s="77">
        <v>11</v>
      </c>
      <c r="BU31" s="77" t="e">
        <f>#REF!</f>
        <v>#REF!</v>
      </c>
      <c r="BV31" s="70" t="s">
        <v>823</v>
      </c>
    </row>
    <row r="32" spans="1:74" ht="40.5" customHeight="1" x14ac:dyDescent="0.25">
      <c r="A32" s="104"/>
      <c r="B32" s="81" t="s">
        <v>138</v>
      </c>
      <c r="C32" s="303" t="s">
        <v>824</v>
      </c>
      <c r="D32" s="304"/>
      <c r="E32" s="304"/>
      <c r="F32" s="304"/>
      <c r="G32" s="304"/>
      <c r="H32" s="304"/>
      <c r="I32" s="304"/>
      <c r="J32" s="304"/>
      <c r="K32" s="304"/>
      <c r="L32" s="304"/>
      <c r="M32" s="305"/>
    </row>
    <row r="33" spans="1:74" x14ac:dyDescent="0.25">
      <c r="A33" s="105" t="s">
        <v>129</v>
      </c>
      <c r="B33" s="74" t="s">
        <v>180</v>
      </c>
      <c r="C33" s="314" t="s">
        <v>181</v>
      </c>
      <c r="D33" s="315"/>
      <c r="E33" s="75" t="s">
        <v>87</v>
      </c>
      <c r="F33" s="75" t="s">
        <v>87</v>
      </c>
      <c r="G33" s="75" t="s">
        <v>87</v>
      </c>
      <c r="H33" s="67">
        <f>SUM(H34:H46)</f>
        <v>0</v>
      </c>
      <c r="I33" s="67">
        <f>SUM(I34:I46)</f>
        <v>0</v>
      </c>
      <c r="J33" s="67">
        <f>SUM(J34:J46)</f>
        <v>0</v>
      </c>
      <c r="K33" s="71" t="s">
        <v>129</v>
      </c>
      <c r="L33" s="67">
        <f>SUM(L34:L46)</f>
        <v>0</v>
      </c>
      <c r="M33" s="106" t="s">
        <v>129</v>
      </c>
      <c r="AG33" s="71" t="s">
        <v>129</v>
      </c>
      <c r="AQ33" s="67">
        <f>SUM(AH34:AH46)</f>
        <v>0</v>
      </c>
      <c r="AR33" s="67">
        <f>SUM(AI34:AI46)</f>
        <v>0</v>
      </c>
      <c r="AS33" s="67">
        <f>SUM(AJ34:AJ46)</f>
        <v>0</v>
      </c>
    </row>
    <row r="34" spans="1:74" x14ac:dyDescent="0.25">
      <c r="A34" s="92" t="s">
        <v>187</v>
      </c>
      <c r="B34" s="69" t="s">
        <v>825</v>
      </c>
      <c r="C34" s="306" t="s">
        <v>826</v>
      </c>
      <c r="D34" s="307"/>
      <c r="E34" s="69" t="s">
        <v>177</v>
      </c>
      <c r="F34" s="77">
        <v>6.54</v>
      </c>
      <c r="G34" s="218">
        <v>0</v>
      </c>
      <c r="H34" s="77">
        <f>F34*AM34</f>
        <v>0</v>
      </c>
      <c r="I34" s="77">
        <f>F34*AN34</f>
        <v>0</v>
      </c>
      <c r="J34" s="77">
        <f>F34*G34</f>
        <v>0</v>
      </c>
      <c r="K34" s="77">
        <v>0</v>
      </c>
      <c r="L34" s="77">
        <f>F34*K34</f>
        <v>0</v>
      </c>
      <c r="M34" s="103" t="s">
        <v>35</v>
      </c>
      <c r="X34" s="77">
        <f>IF(AO34="5",BH34,0)</f>
        <v>0</v>
      </c>
      <c r="Z34" s="77">
        <f>IF(AO34="1",BF34,0)</f>
        <v>0</v>
      </c>
      <c r="AA34" s="77">
        <f>IF(AO34="1",BG34,0)</f>
        <v>0</v>
      </c>
      <c r="AB34" s="77">
        <f>IF(AO34="7",BF34,0)</f>
        <v>0</v>
      </c>
      <c r="AC34" s="77">
        <f>IF(AO34="7",BG34,0)</f>
        <v>0</v>
      </c>
      <c r="AD34" s="77">
        <f>IF(AO34="2",BF34,0)</f>
        <v>0</v>
      </c>
      <c r="AE34" s="77">
        <f>IF(AO34="2",BG34,0)</f>
        <v>0</v>
      </c>
      <c r="AF34" s="77">
        <f>IF(AO34="0",BH34,0)</f>
        <v>0</v>
      </c>
      <c r="AG34" s="71" t="s">
        <v>129</v>
      </c>
      <c r="AH34" s="77">
        <f>IF(AL34=0,J34,0)</f>
        <v>0</v>
      </c>
      <c r="AI34" s="77">
        <f>IF(AL34=15,J34,0)</f>
        <v>0</v>
      </c>
      <c r="AJ34" s="77">
        <f>IF(AL34=21,J34,0)</f>
        <v>0</v>
      </c>
      <c r="AL34" s="77">
        <v>15</v>
      </c>
      <c r="AM34" s="77">
        <f>G34*0</f>
        <v>0</v>
      </c>
      <c r="AN34" s="77">
        <f>G34*(1-0)</f>
        <v>0</v>
      </c>
      <c r="AO34" s="79" t="s">
        <v>132</v>
      </c>
      <c r="AT34" s="77">
        <f>AU34+AV34</f>
        <v>0</v>
      </c>
      <c r="AU34" s="77">
        <f>F34*AM34</f>
        <v>0</v>
      </c>
      <c r="AV34" s="77">
        <f>F34*AN34</f>
        <v>0</v>
      </c>
      <c r="AW34" s="79" t="s">
        <v>185</v>
      </c>
      <c r="AX34" s="79" t="s">
        <v>147</v>
      </c>
      <c r="AY34" s="71" t="s">
        <v>137</v>
      </c>
      <c r="BA34" s="77">
        <f>AU34+AV34</f>
        <v>0</v>
      </c>
      <c r="BB34" s="77">
        <f>G34/(100-BC34)*100</f>
        <v>0</v>
      </c>
      <c r="BC34" s="77">
        <v>0</v>
      </c>
      <c r="BD34" s="77">
        <f>L34</f>
        <v>0</v>
      </c>
      <c r="BF34" s="77">
        <f>F34*AM34</f>
        <v>0</v>
      </c>
      <c r="BG34" s="77">
        <f>F34*AN34</f>
        <v>0</v>
      </c>
      <c r="BH34" s="77">
        <f>F34*G34</f>
        <v>0</v>
      </c>
      <c r="BI34" s="77"/>
      <c r="BJ34" s="77">
        <v>13</v>
      </c>
      <c r="BU34" s="77" t="e">
        <f>#REF!</f>
        <v>#REF!</v>
      </c>
      <c r="BV34" s="70" t="s">
        <v>826</v>
      </c>
    </row>
    <row r="35" spans="1:74" ht="81" customHeight="1" x14ac:dyDescent="0.25">
      <c r="A35" s="104"/>
      <c r="B35" s="81" t="s">
        <v>138</v>
      </c>
      <c r="C35" s="303" t="s">
        <v>827</v>
      </c>
      <c r="D35" s="304"/>
      <c r="E35" s="304"/>
      <c r="F35" s="304"/>
      <c r="G35" s="304"/>
      <c r="H35" s="304"/>
      <c r="I35" s="304"/>
      <c r="J35" s="304"/>
      <c r="K35" s="304"/>
      <c r="L35" s="304"/>
      <c r="M35" s="305"/>
    </row>
    <row r="36" spans="1:74" x14ac:dyDescent="0.25">
      <c r="A36" s="92" t="s">
        <v>140</v>
      </c>
      <c r="B36" s="69" t="s">
        <v>188</v>
      </c>
      <c r="C36" s="306" t="s">
        <v>189</v>
      </c>
      <c r="D36" s="307"/>
      <c r="E36" s="69" t="s">
        <v>177</v>
      </c>
      <c r="F36" s="77">
        <v>3.27</v>
      </c>
      <c r="G36" s="218">
        <v>0</v>
      </c>
      <c r="H36" s="77">
        <f>F36*AM36</f>
        <v>0</v>
      </c>
      <c r="I36" s="77">
        <f>F36*AN36</f>
        <v>0</v>
      </c>
      <c r="J36" s="77">
        <f>F36*G36</f>
        <v>0</v>
      </c>
      <c r="K36" s="77">
        <v>0</v>
      </c>
      <c r="L36" s="77">
        <f>F36*K36</f>
        <v>0</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f>
        <v>0</v>
      </c>
      <c r="AN36" s="77">
        <f>G36*(1-0)</f>
        <v>0</v>
      </c>
      <c r="AO36" s="79" t="s">
        <v>132</v>
      </c>
      <c r="AT36" s="77">
        <f>AU36+AV36</f>
        <v>0</v>
      </c>
      <c r="AU36" s="77">
        <f>F36*AM36</f>
        <v>0</v>
      </c>
      <c r="AV36" s="77">
        <f>F36*AN36</f>
        <v>0</v>
      </c>
      <c r="AW36" s="79" t="s">
        <v>185</v>
      </c>
      <c r="AX36" s="79" t="s">
        <v>147</v>
      </c>
      <c r="AY36" s="71" t="s">
        <v>137</v>
      </c>
      <c r="BA36" s="77">
        <f>AU36+AV36</f>
        <v>0</v>
      </c>
      <c r="BB36" s="77">
        <f>G36/(100-BC36)*100</f>
        <v>0</v>
      </c>
      <c r="BC36" s="77">
        <v>0</v>
      </c>
      <c r="BD36" s="77">
        <f>L36</f>
        <v>0</v>
      </c>
      <c r="BF36" s="77">
        <f>F36*AM36</f>
        <v>0</v>
      </c>
      <c r="BG36" s="77">
        <f>F36*AN36</f>
        <v>0</v>
      </c>
      <c r="BH36" s="77">
        <f>F36*G36</f>
        <v>0</v>
      </c>
      <c r="BI36" s="77"/>
      <c r="BJ36" s="77">
        <v>13</v>
      </c>
      <c r="BU36" s="77" t="e">
        <f>#REF!</f>
        <v>#REF!</v>
      </c>
      <c r="BV36" s="70" t="s">
        <v>189</v>
      </c>
    </row>
    <row r="37" spans="1:74" ht="40.5" customHeight="1" x14ac:dyDescent="0.25">
      <c r="A37" s="104"/>
      <c r="B37" s="81" t="s">
        <v>138</v>
      </c>
      <c r="C37" s="303" t="s">
        <v>828</v>
      </c>
      <c r="D37" s="304"/>
      <c r="E37" s="304"/>
      <c r="F37" s="304"/>
      <c r="G37" s="304"/>
      <c r="H37" s="304"/>
      <c r="I37" s="304"/>
      <c r="J37" s="304"/>
      <c r="K37" s="304"/>
      <c r="L37" s="304"/>
      <c r="M37" s="305"/>
    </row>
    <row r="38" spans="1:74" x14ac:dyDescent="0.25">
      <c r="A38" s="92" t="s">
        <v>172</v>
      </c>
      <c r="B38" s="69" t="s">
        <v>829</v>
      </c>
      <c r="C38" s="306" t="s">
        <v>830</v>
      </c>
      <c r="D38" s="307"/>
      <c r="E38" s="69" t="s">
        <v>177</v>
      </c>
      <c r="F38" s="77">
        <v>6.54</v>
      </c>
      <c r="G38" s="218">
        <v>0</v>
      </c>
      <c r="H38" s="77">
        <f>F38*AM38</f>
        <v>0</v>
      </c>
      <c r="I38" s="77">
        <f>F38*AN38</f>
        <v>0</v>
      </c>
      <c r="J38" s="77">
        <f>F38*G38</f>
        <v>0</v>
      </c>
      <c r="K38" s="77">
        <v>0</v>
      </c>
      <c r="L38" s="77">
        <f>F38*K38</f>
        <v>0</v>
      </c>
      <c r="M38" s="103" t="s">
        <v>35</v>
      </c>
      <c r="X38" s="77">
        <f>IF(AO38="5",BH38,0)</f>
        <v>0</v>
      </c>
      <c r="Z38" s="77">
        <f>IF(AO38="1",BF38,0)</f>
        <v>0</v>
      </c>
      <c r="AA38" s="77">
        <f>IF(AO38="1",BG38,0)</f>
        <v>0</v>
      </c>
      <c r="AB38" s="77">
        <f>IF(AO38="7",BF38,0)</f>
        <v>0</v>
      </c>
      <c r="AC38" s="77">
        <f>IF(AO38="7",BG38,0)</f>
        <v>0</v>
      </c>
      <c r="AD38" s="77">
        <f>IF(AO38="2",BF38,0)</f>
        <v>0</v>
      </c>
      <c r="AE38" s="77">
        <f>IF(AO38="2",BG38,0)</f>
        <v>0</v>
      </c>
      <c r="AF38" s="77">
        <f>IF(AO38="0",BH38,0)</f>
        <v>0</v>
      </c>
      <c r="AG38" s="71" t="s">
        <v>129</v>
      </c>
      <c r="AH38" s="77">
        <f>IF(AL38=0,J38,0)</f>
        <v>0</v>
      </c>
      <c r="AI38" s="77">
        <f>IF(AL38=15,J38,0)</f>
        <v>0</v>
      </c>
      <c r="AJ38" s="77">
        <f>IF(AL38=21,J38,0)</f>
        <v>0</v>
      </c>
      <c r="AL38" s="77">
        <v>15</v>
      </c>
      <c r="AM38" s="77">
        <f>G38*0</f>
        <v>0</v>
      </c>
      <c r="AN38" s="77">
        <f>G38*(1-0)</f>
        <v>0</v>
      </c>
      <c r="AO38" s="79" t="s">
        <v>132</v>
      </c>
      <c r="AT38" s="77">
        <f>AU38+AV38</f>
        <v>0</v>
      </c>
      <c r="AU38" s="77">
        <f>F38*AM38</f>
        <v>0</v>
      </c>
      <c r="AV38" s="77">
        <f>F38*AN38</f>
        <v>0</v>
      </c>
      <c r="AW38" s="79" t="s">
        <v>185</v>
      </c>
      <c r="AX38" s="79" t="s">
        <v>147</v>
      </c>
      <c r="AY38" s="71" t="s">
        <v>137</v>
      </c>
      <c r="BA38" s="77">
        <f>AU38+AV38</f>
        <v>0</v>
      </c>
      <c r="BB38" s="77">
        <f>G38/(100-BC38)*100</f>
        <v>0</v>
      </c>
      <c r="BC38" s="77">
        <v>0</v>
      </c>
      <c r="BD38" s="77">
        <f>L38</f>
        <v>0</v>
      </c>
      <c r="BF38" s="77">
        <f>F38*AM38</f>
        <v>0</v>
      </c>
      <c r="BG38" s="77">
        <f>F38*AN38</f>
        <v>0</v>
      </c>
      <c r="BH38" s="77">
        <f>F38*G38</f>
        <v>0</v>
      </c>
      <c r="BI38" s="77"/>
      <c r="BJ38" s="77">
        <v>13</v>
      </c>
      <c r="BU38" s="77" t="e">
        <f>#REF!</f>
        <v>#REF!</v>
      </c>
      <c r="BV38" s="70" t="s">
        <v>830</v>
      </c>
    </row>
    <row r="39" spans="1:74" ht="81" customHeight="1" x14ac:dyDescent="0.25">
      <c r="A39" s="104"/>
      <c r="B39" s="81" t="s">
        <v>138</v>
      </c>
      <c r="C39" s="303" t="s">
        <v>831</v>
      </c>
      <c r="D39" s="304"/>
      <c r="E39" s="304"/>
      <c r="F39" s="304"/>
      <c r="G39" s="304"/>
      <c r="H39" s="304"/>
      <c r="I39" s="304"/>
      <c r="J39" s="304"/>
      <c r="K39" s="304"/>
      <c r="L39" s="304"/>
      <c r="M39" s="305"/>
    </row>
    <row r="40" spans="1:74" x14ac:dyDescent="0.25">
      <c r="A40" s="92" t="s">
        <v>180</v>
      </c>
      <c r="B40" s="69" t="s">
        <v>194</v>
      </c>
      <c r="C40" s="306" t="s">
        <v>195</v>
      </c>
      <c r="D40" s="307"/>
      <c r="E40" s="69" t="s">
        <v>177</v>
      </c>
      <c r="F40" s="77">
        <v>1.64</v>
      </c>
      <c r="G40" s="218">
        <v>0</v>
      </c>
      <c r="H40" s="77">
        <f>F40*AM40</f>
        <v>0</v>
      </c>
      <c r="I40" s="77">
        <f>F40*AN40</f>
        <v>0</v>
      </c>
      <c r="J40" s="77">
        <f>F40*G40</f>
        <v>0</v>
      </c>
      <c r="K40" s="77">
        <v>0</v>
      </c>
      <c r="L40" s="77">
        <f>F40*K40</f>
        <v>0</v>
      </c>
      <c r="M40" s="103" t="s">
        <v>35</v>
      </c>
      <c r="X40" s="77">
        <f>IF(AO40="5",BH40,0)</f>
        <v>0</v>
      </c>
      <c r="Z40" s="77">
        <f>IF(AO40="1",BF40,0)</f>
        <v>0</v>
      </c>
      <c r="AA40" s="77">
        <f>IF(AO40="1",BG40,0)</f>
        <v>0</v>
      </c>
      <c r="AB40" s="77">
        <f>IF(AO40="7",BF40,0)</f>
        <v>0</v>
      </c>
      <c r="AC40" s="77">
        <f>IF(AO40="7",BG40,0)</f>
        <v>0</v>
      </c>
      <c r="AD40" s="77">
        <f>IF(AO40="2",BF40,0)</f>
        <v>0</v>
      </c>
      <c r="AE40" s="77">
        <f>IF(AO40="2",BG40,0)</f>
        <v>0</v>
      </c>
      <c r="AF40" s="77">
        <f>IF(AO40="0",BH40,0)</f>
        <v>0</v>
      </c>
      <c r="AG40" s="71" t="s">
        <v>129</v>
      </c>
      <c r="AH40" s="77">
        <f>IF(AL40=0,J40,0)</f>
        <v>0</v>
      </c>
      <c r="AI40" s="77">
        <f>IF(AL40=15,J40,0)</f>
        <v>0</v>
      </c>
      <c r="AJ40" s="77">
        <f>IF(AL40=21,J40,0)</f>
        <v>0</v>
      </c>
      <c r="AL40" s="77">
        <v>15</v>
      </c>
      <c r="AM40" s="77">
        <f>G40*0</f>
        <v>0</v>
      </c>
      <c r="AN40" s="77">
        <f>G40*(1-0)</f>
        <v>0</v>
      </c>
      <c r="AO40" s="79" t="s">
        <v>132</v>
      </c>
      <c r="AT40" s="77">
        <f>AU40+AV40</f>
        <v>0</v>
      </c>
      <c r="AU40" s="77">
        <f>F40*AM40</f>
        <v>0</v>
      </c>
      <c r="AV40" s="77">
        <f>F40*AN40</f>
        <v>0</v>
      </c>
      <c r="AW40" s="79" t="s">
        <v>185</v>
      </c>
      <c r="AX40" s="79" t="s">
        <v>147</v>
      </c>
      <c r="AY40" s="71" t="s">
        <v>137</v>
      </c>
      <c r="BA40" s="77">
        <f>AU40+AV40</f>
        <v>0</v>
      </c>
      <c r="BB40" s="77">
        <f>G40/(100-BC40)*100</f>
        <v>0</v>
      </c>
      <c r="BC40" s="77">
        <v>0</v>
      </c>
      <c r="BD40" s="77">
        <f>L40</f>
        <v>0</v>
      </c>
      <c r="BF40" s="77">
        <f>F40*AM40</f>
        <v>0</v>
      </c>
      <c r="BG40" s="77">
        <f>F40*AN40</f>
        <v>0</v>
      </c>
      <c r="BH40" s="77">
        <f>F40*G40</f>
        <v>0</v>
      </c>
      <c r="BI40" s="77"/>
      <c r="BJ40" s="77">
        <v>13</v>
      </c>
      <c r="BU40" s="77" t="e">
        <f>#REF!</f>
        <v>#REF!</v>
      </c>
      <c r="BV40" s="70" t="s">
        <v>195</v>
      </c>
    </row>
    <row r="41" spans="1:74" ht="40.5" customHeight="1" x14ac:dyDescent="0.25">
      <c r="A41" s="104"/>
      <c r="B41" s="81" t="s">
        <v>138</v>
      </c>
      <c r="C41" s="303" t="s">
        <v>832</v>
      </c>
      <c r="D41" s="304"/>
      <c r="E41" s="304"/>
      <c r="F41" s="304"/>
      <c r="G41" s="304"/>
      <c r="H41" s="304"/>
      <c r="I41" s="304"/>
      <c r="J41" s="304"/>
      <c r="K41" s="304"/>
      <c r="L41" s="304"/>
      <c r="M41" s="305"/>
    </row>
    <row r="42" spans="1:74" x14ac:dyDescent="0.25">
      <c r="A42" s="92" t="s">
        <v>200</v>
      </c>
      <c r="B42" s="69" t="s">
        <v>197</v>
      </c>
      <c r="C42" s="306" t="s">
        <v>198</v>
      </c>
      <c r="D42" s="307"/>
      <c r="E42" s="69" t="s">
        <v>177</v>
      </c>
      <c r="F42" s="77">
        <v>3</v>
      </c>
      <c r="G42" s="218">
        <v>0</v>
      </c>
      <c r="H42" s="77">
        <f>F42*AM42</f>
        <v>0</v>
      </c>
      <c r="I42" s="77">
        <f>F42*AN42</f>
        <v>0</v>
      </c>
      <c r="J42" s="77">
        <f>F42*G42</f>
        <v>0</v>
      </c>
      <c r="K42" s="77">
        <v>0</v>
      </c>
      <c r="L42" s="77">
        <f>F42*K42</f>
        <v>0</v>
      </c>
      <c r="M42" s="103" t="s">
        <v>35</v>
      </c>
      <c r="X42" s="77">
        <f>IF(AO42="5",BH42,0)</f>
        <v>0</v>
      </c>
      <c r="Z42" s="77">
        <f>IF(AO42="1",BF42,0)</f>
        <v>0</v>
      </c>
      <c r="AA42" s="77">
        <f>IF(AO42="1",BG42,0)</f>
        <v>0</v>
      </c>
      <c r="AB42" s="77">
        <f>IF(AO42="7",BF42,0)</f>
        <v>0</v>
      </c>
      <c r="AC42" s="77">
        <f>IF(AO42="7",BG42,0)</f>
        <v>0</v>
      </c>
      <c r="AD42" s="77">
        <f>IF(AO42="2",BF42,0)</f>
        <v>0</v>
      </c>
      <c r="AE42" s="77">
        <f>IF(AO42="2",BG42,0)</f>
        <v>0</v>
      </c>
      <c r="AF42" s="77">
        <f>IF(AO42="0",BH42,0)</f>
        <v>0</v>
      </c>
      <c r="AG42" s="71" t="s">
        <v>129</v>
      </c>
      <c r="AH42" s="77">
        <f>IF(AL42=0,J42,0)</f>
        <v>0</v>
      </c>
      <c r="AI42" s="77">
        <f>IF(AL42=15,J42,0)</f>
        <v>0</v>
      </c>
      <c r="AJ42" s="77">
        <f>IF(AL42=21,J42,0)</f>
        <v>0</v>
      </c>
      <c r="AL42" s="77">
        <v>15</v>
      </c>
      <c r="AM42" s="77">
        <f>G42*0</f>
        <v>0</v>
      </c>
      <c r="AN42" s="77">
        <f>G42*(1-0)</f>
        <v>0</v>
      </c>
      <c r="AO42" s="79" t="s">
        <v>132</v>
      </c>
      <c r="AT42" s="77">
        <f>AU42+AV42</f>
        <v>0</v>
      </c>
      <c r="AU42" s="77">
        <f>F42*AM42</f>
        <v>0</v>
      </c>
      <c r="AV42" s="77">
        <f>F42*AN42</f>
        <v>0</v>
      </c>
      <c r="AW42" s="79" t="s">
        <v>185</v>
      </c>
      <c r="AX42" s="79" t="s">
        <v>147</v>
      </c>
      <c r="AY42" s="71" t="s">
        <v>137</v>
      </c>
      <c r="BA42" s="77">
        <f>AU42+AV42</f>
        <v>0</v>
      </c>
      <c r="BB42" s="77">
        <f>G42/(100-BC42)*100</f>
        <v>0</v>
      </c>
      <c r="BC42" s="77">
        <v>0</v>
      </c>
      <c r="BD42" s="77">
        <f>L42</f>
        <v>0</v>
      </c>
      <c r="BF42" s="77">
        <f>F42*AM42</f>
        <v>0</v>
      </c>
      <c r="BG42" s="77">
        <f>F42*AN42</f>
        <v>0</v>
      </c>
      <c r="BH42" s="77">
        <f>F42*G42</f>
        <v>0</v>
      </c>
      <c r="BI42" s="77"/>
      <c r="BJ42" s="77">
        <v>13</v>
      </c>
      <c r="BU42" s="77" t="e">
        <f>#REF!</f>
        <v>#REF!</v>
      </c>
      <c r="BV42" s="70" t="s">
        <v>198</v>
      </c>
    </row>
    <row r="43" spans="1:74" ht="54" customHeight="1" x14ac:dyDescent="0.25">
      <c r="A43" s="104"/>
      <c r="B43" s="81" t="s">
        <v>138</v>
      </c>
      <c r="C43" s="303" t="s">
        <v>199</v>
      </c>
      <c r="D43" s="304"/>
      <c r="E43" s="304"/>
      <c r="F43" s="304"/>
      <c r="G43" s="304"/>
      <c r="H43" s="304"/>
      <c r="I43" s="304"/>
      <c r="J43" s="304"/>
      <c r="K43" s="304"/>
      <c r="L43" s="304"/>
      <c r="M43" s="305"/>
    </row>
    <row r="44" spans="1:74" x14ac:dyDescent="0.25">
      <c r="A44" s="92" t="s">
        <v>204</v>
      </c>
      <c r="B44" s="69" t="s">
        <v>201</v>
      </c>
      <c r="C44" s="306" t="s">
        <v>202</v>
      </c>
      <c r="D44" s="307"/>
      <c r="E44" s="69" t="s">
        <v>177</v>
      </c>
      <c r="F44" s="77">
        <v>2</v>
      </c>
      <c r="G44" s="218">
        <v>0</v>
      </c>
      <c r="H44" s="77">
        <f>F44*AM44</f>
        <v>0</v>
      </c>
      <c r="I44" s="77">
        <f>F44*AN44</f>
        <v>0</v>
      </c>
      <c r="J44" s="77">
        <f>F44*G44</f>
        <v>0</v>
      </c>
      <c r="K44" s="77">
        <v>0</v>
      </c>
      <c r="L44" s="77">
        <f>F44*K44</f>
        <v>0</v>
      </c>
      <c r="M44" s="103" t="s">
        <v>35</v>
      </c>
      <c r="X44" s="77">
        <f>IF(AO44="5",BH44,0)</f>
        <v>0</v>
      </c>
      <c r="Z44" s="77">
        <f>IF(AO44="1",BF44,0)</f>
        <v>0</v>
      </c>
      <c r="AA44" s="77">
        <f>IF(AO44="1",BG44,0)</f>
        <v>0</v>
      </c>
      <c r="AB44" s="77">
        <f>IF(AO44="7",BF44,0)</f>
        <v>0</v>
      </c>
      <c r="AC44" s="77">
        <f>IF(AO44="7",BG44,0)</f>
        <v>0</v>
      </c>
      <c r="AD44" s="77">
        <f>IF(AO44="2",BF44,0)</f>
        <v>0</v>
      </c>
      <c r="AE44" s="77">
        <f>IF(AO44="2",BG44,0)</f>
        <v>0</v>
      </c>
      <c r="AF44" s="77">
        <f>IF(AO44="0",BH44,0)</f>
        <v>0</v>
      </c>
      <c r="AG44" s="71" t="s">
        <v>129</v>
      </c>
      <c r="AH44" s="77">
        <f>IF(AL44=0,J44,0)</f>
        <v>0</v>
      </c>
      <c r="AI44" s="77">
        <f>IF(AL44=15,J44,0)</f>
        <v>0</v>
      </c>
      <c r="AJ44" s="77">
        <f>IF(AL44=21,J44,0)</f>
        <v>0</v>
      </c>
      <c r="AL44" s="77">
        <v>15</v>
      </c>
      <c r="AM44" s="77">
        <f>G44*0</f>
        <v>0</v>
      </c>
      <c r="AN44" s="77">
        <f>G44*(1-0)</f>
        <v>0</v>
      </c>
      <c r="AO44" s="79" t="s">
        <v>132</v>
      </c>
      <c r="AT44" s="77">
        <f>AU44+AV44</f>
        <v>0</v>
      </c>
      <c r="AU44" s="77">
        <f>F44*AM44</f>
        <v>0</v>
      </c>
      <c r="AV44" s="77">
        <f>F44*AN44</f>
        <v>0</v>
      </c>
      <c r="AW44" s="79" t="s">
        <v>185</v>
      </c>
      <c r="AX44" s="79" t="s">
        <v>147</v>
      </c>
      <c r="AY44" s="71" t="s">
        <v>137</v>
      </c>
      <c r="BA44" s="77">
        <f>AU44+AV44</f>
        <v>0</v>
      </c>
      <c r="BB44" s="77">
        <f>G44/(100-BC44)*100</f>
        <v>0</v>
      </c>
      <c r="BC44" s="77">
        <v>0</v>
      </c>
      <c r="BD44" s="77">
        <f>L44</f>
        <v>0</v>
      </c>
      <c r="BF44" s="77">
        <f>F44*AM44</f>
        <v>0</v>
      </c>
      <c r="BG44" s="77">
        <f>F44*AN44</f>
        <v>0</v>
      </c>
      <c r="BH44" s="77">
        <f>F44*G44</f>
        <v>0</v>
      </c>
      <c r="BI44" s="77"/>
      <c r="BJ44" s="77">
        <v>13</v>
      </c>
      <c r="BU44" s="77" t="e">
        <f>#REF!</f>
        <v>#REF!</v>
      </c>
      <c r="BV44" s="70" t="s">
        <v>202</v>
      </c>
    </row>
    <row r="45" spans="1:74" ht="13.5" customHeight="1" x14ac:dyDescent="0.25">
      <c r="A45" s="104"/>
      <c r="B45" s="81" t="s">
        <v>138</v>
      </c>
      <c r="C45" s="303" t="s">
        <v>203</v>
      </c>
      <c r="D45" s="304"/>
      <c r="E45" s="304"/>
      <c r="F45" s="304"/>
      <c r="G45" s="304"/>
      <c r="H45" s="304"/>
      <c r="I45" s="304"/>
      <c r="J45" s="304"/>
      <c r="K45" s="304"/>
      <c r="L45" s="304"/>
      <c r="M45" s="305"/>
    </row>
    <row r="46" spans="1:74" x14ac:dyDescent="0.25">
      <c r="A46" s="92" t="s">
        <v>209</v>
      </c>
      <c r="B46" s="69" t="s">
        <v>205</v>
      </c>
      <c r="C46" s="306" t="s">
        <v>206</v>
      </c>
      <c r="D46" s="307"/>
      <c r="E46" s="69" t="s">
        <v>177</v>
      </c>
      <c r="F46" s="77">
        <v>1.38</v>
      </c>
      <c r="G46" s="218">
        <v>0</v>
      </c>
      <c r="H46" s="77">
        <f>F46*AM46</f>
        <v>0</v>
      </c>
      <c r="I46" s="77">
        <f>F46*AN46</f>
        <v>0</v>
      </c>
      <c r="J46" s="77">
        <f>F46*G46</f>
        <v>0</v>
      </c>
      <c r="K46" s="77">
        <v>0</v>
      </c>
      <c r="L46" s="77">
        <f>F46*K46</f>
        <v>0</v>
      </c>
      <c r="M46" s="103" t="s">
        <v>35</v>
      </c>
      <c r="X46" s="77">
        <f>IF(AO46="5",BH46,0)</f>
        <v>0</v>
      </c>
      <c r="Z46" s="77">
        <f>IF(AO46="1",BF46,0)</f>
        <v>0</v>
      </c>
      <c r="AA46" s="77">
        <f>IF(AO46="1",BG46,0)</f>
        <v>0</v>
      </c>
      <c r="AB46" s="77">
        <f>IF(AO46="7",BF46,0)</f>
        <v>0</v>
      </c>
      <c r="AC46" s="77">
        <f>IF(AO46="7",BG46,0)</f>
        <v>0</v>
      </c>
      <c r="AD46" s="77">
        <f>IF(AO46="2",BF46,0)</f>
        <v>0</v>
      </c>
      <c r="AE46" s="77">
        <f>IF(AO46="2",BG46,0)</f>
        <v>0</v>
      </c>
      <c r="AF46" s="77">
        <f>IF(AO46="0",BH46,0)</f>
        <v>0</v>
      </c>
      <c r="AG46" s="71" t="s">
        <v>129</v>
      </c>
      <c r="AH46" s="77">
        <f>IF(AL46=0,J46,0)</f>
        <v>0</v>
      </c>
      <c r="AI46" s="77">
        <f>IF(AL46=15,J46,0)</f>
        <v>0</v>
      </c>
      <c r="AJ46" s="77">
        <f>IF(AL46=21,J46,0)</f>
        <v>0</v>
      </c>
      <c r="AL46" s="77">
        <v>15</v>
      </c>
      <c r="AM46" s="77">
        <f>G46*0</f>
        <v>0</v>
      </c>
      <c r="AN46" s="77">
        <f>G46*(1-0)</f>
        <v>0</v>
      </c>
      <c r="AO46" s="79" t="s">
        <v>132</v>
      </c>
      <c r="AT46" s="77">
        <f>AU46+AV46</f>
        <v>0</v>
      </c>
      <c r="AU46" s="77">
        <f>F46*AM46</f>
        <v>0</v>
      </c>
      <c r="AV46" s="77">
        <f>F46*AN46</f>
        <v>0</v>
      </c>
      <c r="AW46" s="79" t="s">
        <v>185</v>
      </c>
      <c r="AX46" s="79" t="s">
        <v>147</v>
      </c>
      <c r="AY46" s="71" t="s">
        <v>137</v>
      </c>
      <c r="BA46" s="77">
        <f>AU46+AV46</f>
        <v>0</v>
      </c>
      <c r="BB46" s="77">
        <f>G46/(100-BC46)*100</f>
        <v>0</v>
      </c>
      <c r="BC46" s="77">
        <v>0</v>
      </c>
      <c r="BD46" s="77">
        <f>L46</f>
        <v>0</v>
      </c>
      <c r="BF46" s="77">
        <f>F46*AM46</f>
        <v>0</v>
      </c>
      <c r="BG46" s="77">
        <f>F46*AN46</f>
        <v>0</v>
      </c>
      <c r="BH46" s="77">
        <f>F46*G46</f>
        <v>0</v>
      </c>
      <c r="BI46" s="77"/>
      <c r="BJ46" s="77">
        <v>13</v>
      </c>
      <c r="BU46" s="77" t="e">
        <f>#REF!</f>
        <v>#REF!</v>
      </c>
      <c r="BV46" s="70" t="s">
        <v>206</v>
      </c>
    </row>
    <row r="47" spans="1:74" ht="40.5" customHeight="1" x14ac:dyDescent="0.25">
      <c r="A47" s="104"/>
      <c r="B47" s="81" t="s">
        <v>138</v>
      </c>
      <c r="C47" s="303" t="s">
        <v>833</v>
      </c>
      <c r="D47" s="304"/>
      <c r="E47" s="304"/>
      <c r="F47" s="304"/>
      <c r="G47" s="304"/>
      <c r="H47" s="304"/>
      <c r="I47" s="304"/>
      <c r="J47" s="304"/>
      <c r="K47" s="304"/>
      <c r="L47" s="304"/>
      <c r="M47" s="305"/>
    </row>
    <row r="48" spans="1:74" x14ac:dyDescent="0.25">
      <c r="A48" s="105" t="s">
        <v>129</v>
      </c>
      <c r="B48" s="74" t="s">
        <v>204</v>
      </c>
      <c r="C48" s="314" t="s">
        <v>208</v>
      </c>
      <c r="D48" s="315"/>
      <c r="E48" s="75" t="s">
        <v>87</v>
      </c>
      <c r="F48" s="75" t="s">
        <v>87</v>
      </c>
      <c r="G48" s="75" t="s">
        <v>87</v>
      </c>
      <c r="H48" s="67">
        <f>SUM(H49:H51)</f>
        <v>0</v>
      </c>
      <c r="I48" s="67">
        <f>SUM(I49:I51)</f>
        <v>0</v>
      </c>
      <c r="J48" s="67">
        <f>SUM(J49:J51)</f>
        <v>0</v>
      </c>
      <c r="K48" s="71" t="s">
        <v>129</v>
      </c>
      <c r="L48" s="67">
        <f>SUM(L49:L51)</f>
        <v>2.3297399999999999E-2</v>
      </c>
      <c r="M48" s="106" t="s">
        <v>129</v>
      </c>
      <c r="AG48" s="71" t="s">
        <v>129</v>
      </c>
      <c r="AQ48" s="67">
        <f>SUM(AH49:AH51)</f>
        <v>0</v>
      </c>
      <c r="AR48" s="67">
        <f>SUM(AI49:AI51)</f>
        <v>0</v>
      </c>
      <c r="AS48" s="67">
        <f>SUM(AJ49:AJ51)</f>
        <v>0</v>
      </c>
    </row>
    <row r="49" spans="1:74" x14ac:dyDescent="0.25">
      <c r="A49" s="92" t="s">
        <v>214</v>
      </c>
      <c r="B49" s="69" t="s">
        <v>210</v>
      </c>
      <c r="C49" s="306" t="s">
        <v>211</v>
      </c>
      <c r="D49" s="307"/>
      <c r="E49" s="69" t="s">
        <v>166</v>
      </c>
      <c r="F49" s="77">
        <v>27.09</v>
      </c>
      <c r="G49" s="218">
        <v>0</v>
      </c>
      <c r="H49" s="77">
        <f>F49*AM49</f>
        <v>0</v>
      </c>
      <c r="I49" s="77">
        <f>F49*AN49</f>
        <v>0</v>
      </c>
      <c r="J49" s="77">
        <f>F49*G49</f>
        <v>0</v>
      </c>
      <c r="K49" s="77">
        <v>8.5999999999999998E-4</v>
      </c>
      <c r="L49" s="77">
        <f>F49*K49</f>
        <v>2.3297399999999999E-2</v>
      </c>
      <c r="M49" s="103" t="s">
        <v>35</v>
      </c>
      <c r="X49" s="77">
        <f>IF(AO49="5",BH49,0)</f>
        <v>0</v>
      </c>
      <c r="Z49" s="77">
        <f>IF(AO49="1",BF49,0)</f>
        <v>0</v>
      </c>
      <c r="AA49" s="77">
        <f>IF(AO49="1",BG49,0)</f>
        <v>0</v>
      </c>
      <c r="AB49" s="77">
        <f>IF(AO49="7",BF49,0)</f>
        <v>0</v>
      </c>
      <c r="AC49" s="77">
        <f>IF(AO49="7",BG49,0)</f>
        <v>0</v>
      </c>
      <c r="AD49" s="77">
        <f>IF(AO49="2",BF49,0)</f>
        <v>0</v>
      </c>
      <c r="AE49" s="77">
        <f>IF(AO49="2",BG49,0)</f>
        <v>0</v>
      </c>
      <c r="AF49" s="77">
        <f>IF(AO49="0",BH49,0)</f>
        <v>0</v>
      </c>
      <c r="AG49" s="71" t="s">
        <v>129</v>
      </c>
      <c r="AH49" s="77">
        <f>IF(AL49=0,J49,0)</f>
        <v>0</v>
      </c>
      <c r="AI49" s="77">
        <f>IF(AL49=15,J49,0)</f>
        <v>0</v>
      </c>
      <c r="AJ49" s="77">
        <f>IF(AL49=21,J49,0)</f>
        <v>0</v>
      </c>
      <c r="AL49" s="77">
        <v>15</v>
      </c>
      <c r="AM49" s="77">
        <f>G49*0.088676333</f>
        <v>0</v>
      </c>
      <c r="AN49" s="77">
        <f>G49*(1-0.088676333)</f>
        <v>0</v>
      </c>
      <c r="AO49" s="79" t="s">
        <v>132</v>
      </c>
      <c r="AT49" s="77">
        <f>AU49+AV49</f>
        <v>0</v>
      </c>
      <c r="AU49" s="77">
        <f>F49*AM49</f>
        <v>0</v>
      </c>
      <c r="AV49" s="77">
        <f>F49*AN49</f>
        <v>0</v>
      </c>
      <c r="AW49" s="79" t="s">
        <v>212</v>
      </c>
      <c r="AX49" s="79" t="s">
        <v>147</v>
      </c>
      <c r="AY49" s="71" t="s">
        <v>137</v>
      </c>
      <c r="BA49" s="77">
        <f>AU49+AV49</f>
        <v>0</v>
      </c>
      <c r="BB49" s="77">
        <f>G49/(100-BC49)*100</f>
        <v>0</v>
      </c>
      <c r="BC49" s="77">
        <v>0</v>
      </c>
      <c r="BD49" s="77">
        <f>L49</f>
        <v>2.3297399999999999E-2</v>
      </c>
      <c r="BF49" s="77">
        <f>F49*AM49</f>
        <v>0</v>
      </c>
      <c r="BG49" s="77">
        <f>F49*AN49</f>
        <v>0</v>
      </c>
      <c r="BH49" s="77">
        <f>F49*G49</f>
        <v>0</v>
      </c>
      <c r="BI49" s="77"/>
      <c r="BJ49" s="77">
        <v>15</v>
      </c>
      <c r="BU49" s="77" t="e">
        <f>#REF!</f>
        <v>#REF!</v>
      </c>
      <c r="BV49" s="70" t="s">
        <v>211</v>
      </c>
    </row>
    <row r="50" spans="1:74" ht="40.5" customHeight="1" x14ac:dyDescent="0.25">
      <c r="A50" s="104"/>
      <c r="B50" s="81" t="s">
        <v>138</v>
      </c>
      <c r="C50" s="303" t="s">
        <v>834</v>
      </c>
      <c r="D50" s="304"/>
      <c r="E50" s="304"/>
      <c r="F50" s="304"/>
      <c r="G50" s="304"/>
      <c r="H50" s="304"/>
      <c r="I50" s="304"/>
      <c r="J50" s="304"/>
      <c r="K50" s="304"/>
      <c r="L50" s="304"/>
      <c r="M50" s="305"/>
    </row>
    <row r="51" spans="1:74" x14ac:dyDescent="0.25">
      <c r="A51" s="92" t="s">
        <v>219</v>
      </c>
      <c r="B51" s="69" t="s">
        <v>215</v>
      </c>
      <c r="C51" s="306" t="s">
        <v>216</v>
      </c>
      <c r="D51" s="307"/>
      <c r="E51" s="69" t="s">
        <v>166</v>
      </c>
      <c r="F51" s="77">
        <v>27.09</v>
      </c>
      <c r="G51" s="218">
        <v>0</v>
      </c>
      <c r="H51" s="77">
        <f>F51*AM51</f>
        <v>0</v>
      </c>
      <c r="I51" s="77">
        <f>F51*AN51</f>
        <v>0</v>
      </c>
      <c r="J51" s="77">
        <f>F51*G51</f>
        <v>0</v>
      </c>
      <c r="K51" s="77">
        <v>0</v>
      </c>
      <c r="L51" s="77">
        <f>F51*K51</f>
        <v>0</v>
      </c>
      <c r="M51" s="103" t="s">
        <v>35</v>
      </c>
      <c r="X51" s="77">
        <f>IF(AO51="5",BH51,0)</f>
        <v>0</v>
      </c>
      <c r="Z51" s="77">
        <f>IF(AO51="1",BF51,0)</f>
        <v>0</v>
      </c>
      <c r="AA51" s="77">
        <f>IF(AO51="1",BG51,0)</f>
        <v>0</v>
      </c>
      <c r="AB51" s="77">
        <f>IF(AO51="7",BF51,0)</f>
        <v>0</v>
      </c>
      <c r="AC51" s="77">
        <f>IF(AO51="7",BG51,0)</f>
        <v>0</v>
      </c>
      <c r="AD51" s="77">
        <f>IF(AO51="2",BF51,0)</f>
        <v>0</v>
      </c>
      <c r="AE51" s="77">
        <f>IF(AO51="2",BG51,0)</f>
        <v>0</v>
      </c>
      <c r="AF51" s="77">
        <f>IF(AO51="0",BH51,0)</f>
        <v>0</v>
      </c>
      <c r="AG51" s="71" t="s">
        <v>129</v>
      </c>
      <c r="AH51" s="77">
        <f>IF(AL51=0,J51,0)</f>
        <v>0</v>
      </c>
      <c r="AI51" s="77">
        <f>IF(AL51=15,J51,0)</f>
        <v>0</v>
      </c>
      <c r="AJ51" s="77">
        <f>IF(AL51=21,J51,0)</f>
        <v>0</v>
      </c>
      <c r="AL51" s="77">
        <v>15</v>
      </c>
      <c r="AM51" s="77">
        <f>G51*0</f>
        <v>0</v>
      </c>
      <c r="AN51" s="77">
        <f>G51*(1-0)</f>
        <v>0</v>
      </c>
      <c r="AO51" s="79" t="s">
        <v>132</v>
      </c>
      <c r="AT51" s="77">
        <f>AU51+AV51</f>
        <v>0</v>
      </c>
      <c r="AU51" s="77">
        <f>F51*AM51</f>
        <v>0</v>
      </c>
      <c r="AV51" s="77">
        <f>F51*AN51</f>
        <v>0</v>
      </c>
      <c r="AW51" s="79" t="s">
        <v>212</v>
      </c>
      <c r="AX51" s="79" t="s">
        <v>147</v>
      </c>
      <c r="AY51" s="71" t="s">
        <v>137</v>
      </c>
      <c r="BA51" s="77">
        <f>AU51+AV51</f>
        <v>0</v>
      </c>
      <c r="BB51" s="77">
        <f>G51/(100-BC51)*100</f>
        <v>0</v>
      </c>
      <c r="BC51" s="77">
        <v>0</v>
      </c>
      <c r="BD51" s="77">
        <f>L51</f>
        <v>0</v>
      </c>
      <c r="BF51" s="77">
        <f>F51*AM51</f>
        <v>0</v>
      </c>
      <c r="BG51" s="77">
        <f>F51*AN51</f>
        <v>0</v>
      </c>
      <c r="BH51" s="77">
        <f>F51*G51</f>
        <v>0</v>
      </c>
      <c r="BI51" s="77"/>
      <c r="BJ51" s="77">
        <v>15</v>
      </c>
      <c r="BU51" s="77" t="e">
        <f>#REF!</f>
        <v>#REF!</v>
      </c>
      <c r="BV51" s="70" t="s">
        <v>216</v>
      </c>
    </row>
    <row r="52" spans="1:74" ht="40.5" customHeight="1" thickBot="1" x14ac:dyDescent="0.3">
      <c r="A52" s="107"/>
      <c r="B52" s="108" t="s">
        <v>138</v>
      </c>
      <c r="C52" s="308" t="s">
        <v>835</v>
      </c>
      <c r="D52" s="309"/>
      <c r="E52" s="309"/>
      <c r="F52" s="309"/>
      <c r="G52" s="309"/>
      <c r="H52" s="309"/>
      <c r="I52" s="309"/>
      <c r="J52" s="309"/>
      <c r="K52" s="309"/>
      <c r="L52" s="309"/>
      <c r="M52" s="310"/>
    </row>
    <row r="53" spans="1:74" x14ac:dyDescent="0.25">
      <c r="A53" s="97" t="s">
        <v>129</v>
      </c>
      <c r="B53" s="98" t="s">
        <v>209</v>
      </c>
      <c r="C53" s="318" t="s">
        <v>218</v>
      </c>
      <c r="D53" s="319"/>
      <c r="E53" s="99" t="s">
        <v>87</v>
      </c>
      <c r="F53" s="99" t="s">
        <v>87</v>
      </c>
      <c r="G53" s="99" t="s">
        <v>87</v>
      </c>
      <c r="H53" s="100">
        <f>SUM(H54:H64)</f>
        <v>0</v>
      </c>
      <c r="I53" s="100">
        <f>SUM(I54:I64)</f>
        <v>0</v>
      </c>
      <c r="J53" s="100">
        <f>SUM(J54:J64)</f>
        <v>0</v>
      </c>
      <c r="K53" s="101" t="s">
        <v>129</v>
      </c>
      <c r="L53" s="100">
        <f>SUM(L54:L64)</f>
        <v>0</v>
      </c>
      <c r="M53" s="102" t="s">
        <v>129</v>
      </c>
      <c r="AG53" s="71" t="s">
        <v>129</v>
      </c>
      <c r="AQ53" s="67">
        <f>SUM(AH54:AH64)</f>
        <v>0</v>
      </c>
      <c r="AR53" s="67">
        <f>SUM(AI54:AI64)</f>
        <v>0</v>
      </c>
      <c r="AS53" s="67">
        <f>SUM(AJ54:AJ64)</f>
        <v>0</v>
      </c>
    </row>
    <row r="54" spans="1:74" x14ac:dyDescent="0.25">
      <c r="A54" s="92" t="s">
        <v>224</v>
      </c>
      <c r="B54" s="69" t="s">
        <v>220</v>
      </c>
      <c r="C54" s="306" t="s">
        <v>221</v>
      </c>
      <c r="D54" s="307"/>
      <c r="E54" s="69" t="s">
        <v>177</v>
      </c>
      <c r="F54" s="77">
        <v>6.54</v>
      </c>
      <c r="G54" s="218">
        <v>0</v>
      </c>
      <c r="H54" s="77">
        <f>F54*AM54</f>
        <v>0</v>
      </c>
      <c r="I54" s="77">
        <f>F54*AN54</f>
        <v>0</v>
      </c>
      <c r="J54" s="77">
        <f>F54*G54</f>
        <v>0</v>
      </c>
      <c r="K54" s="77">
        <v>0</v>
      </c>
      <c r="L54" s="77">
        <f>F54*K54</f>
        <v>0</v>
      </c>
      <c r="M54" s="103"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f>
        <v>0</v>
      </c>
      <c r="AN54" s="77">
        <f>G54*(1-0)</f>
        <v>0</v>
      </c>
      <c r="AO54" s="79" t="s">
        <v>132</v>
      </c>
      <c r="AT54" s="77">
        <f>AU54+AV54</f>
        <v>0</v>
      </c>
      <c r="AU54" s="77">
        <f>F54*AM54</f>
        <v>0</v>
      </c>
      <c r="AV54" s="77">
        <f>F54*AN54</f>
        <v>0</v>
      </c>
      <c r="AW54" s="79" t="s">
        <v>222</v>
      </c>
      <c r="AX54" s="79" t="s">
        <v>147</v>
      </c>
      <c r="AY54" s="71" t="s">
        <v>137</v>
      </c>
      <c r="BA54" s="77">
        <f>AU54+AV54</f>
        <v>0</v>
      </c>
      <c r="BB54" s="77">
        <f>G54/(100-BC54)*100</f>
        <v>0</v>
      </c>
      <c r="BC54" s="77">
        <v>0</v>
      </c>
      <c r="BD54" s="77">
        <f>L54</f>
        <v>0</v>
      </c>
      <c r="BF54" s="77">
        <f>F54*AM54</f>
        <v>0</v>
      </c>
      <c r="BG54" s="77">
        <f>F54*AN54</f>
        <v>0</v>
      </c>
      <c r="BH54" s="77">
        <f>F54*G54</f>
        <v>0</v>
      </c>
      <c r="BI54" s="77"/>
      <c r="BJ54" s="77">
        <v>16</v>
      </c>
      <c r="BU54" s="77" t="e">
        <f>#REF!</f>
        <v>#REF!</v>
      </c>
      <c r="BV54" s="70" t="s">
        <v>221</v>
      </c>
    </row>
    <row r="55" spans="1:74" ht="54" customHeight="1" x14ac:dyDescent="0.25">
      <c r="A55" s="104"/>
      <c r="B55" s="81" t="s">
        <v>138</v>
      </c>
      <c r="C55" s="303" t="s">
        <v>836</v>
      </c>
      <c r="D55" s="304"/>
      <c r="E55" s="304"/>
      <c r="F55" s="304"/>
      <c r="G55" s="304"/>
      <c r="H55" s="304"/>
      <c r="I55" s="304"/>
      <c r="J55" s="304"/>
      <c r="K55" s="304"/>
      <c r="L55" s="304"/>
      <c r="M55" s="305"/>
    </row>
    <row r="56" spans="1:74" x14ac:dyDescent="0.25">
      <c r="A56" s="92" t="s">
        <v>228</v>
      </c>
      <c r="B56" s="69" t="s">
        <v>225</v>
      </c>
      <c r="C56" s="306" t="s">
        <v>226</v>
      </c>
      <c r="D56" s="307"/>
      <c r="E56" s="69" t="s">
        <v>177</v>
      </c>
      <c r="F56" s="77">
        <v>3.19</v>
      </c>
      <c r="G56" s="218">
        <v>0</v>
      </c>
      <c r="H56" s="77">
        <f>F56*AM56</f>
        <v>0</v>
      </c>
      <c r="I56" s="77">
        <f>F56*AN56</f>
        <v>0</v>
      </c>
      <c r="J56" s="77">
        <f>F56*G56</f>
        <v>0</v>
      </c>
      <c r="K56" s="77">
        <v>0</v>
      </c>
      <c r="L56" s="77">
        <f>F56*K56</f>
        <v>0</v>
      </c>
      <c r="M56" s="103" t="s">
        <v>35</v>
      </c>
      <c r="X56" s="77">
        <f>IF(AO56="5",BH56,0)</f>
        <v>0</v>
      </c>
      <c r="Z56" s="77">
        <f>IF(AO56="1",BF56,0)</f>
        <v>0</v>
      </c>
      <c r="AA56" s="77">
        <f>IF(AO56="1",BG56,0)</f>
        <v>0</v>
      </c>
      <c r="AB56" s="77">
        <f>IF(AO56="7",BF56,0)</f>
        <v>0</v>
      </c>
      <c r="AC56" s="77">
        <f>IF(AO56="7",BG56,0)</f>
        <v>0</v>
      </c>
      <c r="AD56" s="77">
        <f>IF(AO56="2",BF56,0)</f>
        <v>0</v>
      </c>
      <c r="AE56" s="77">
        <f>IF(AO56="2",BG56,0)</f>
        <v>0</v>
      </c>
      <c r="AF56" s="77">
        <f>IF(AO56="0",BH56,0)</f>
        <v>0</v>
      </c>
      <c r="AG56" s="71" t="s">
        <v>129</v>
      </c>
      <c r="AH56" s="77">
        <f>IF(AL56=0,J56,0)</f>
        <v>0</v>
      </c>
      <c r="AI56" s="77">
        <f>IF(AL56=15,J56,0)</f>
        <v>0</v>
      </c>
      <c r="AJ56" s="77">
        <f>IF(AL56=21,J56,0)</f>
        <v>0</v>
      </c>
      <c r="AL56" s="77">
        <v>15</v>
      </c>
      <c r="AM56" s="77">
        <f>G56*0</f>
        <v>0</v>
      </c>
      <c r="AN56" s="77">
        <f>G56*(1-0)</f>
        <v>0</v>
      </c>
      <c r="AO56" s="79" t="s">
        <v>132</v>
      </c>
      <c r="AT56" s="77">
        <f>AU56+AV56</f>
        <v>0</v>
      </c>
      <c r="AU56" s="77">
        <f>F56*AM56</f>
        <v>0</v>
      </c>
      <c r="AV56" s="77">
        <f>F56*AN56</f>
        <v>0</v>
      </c>
      <c r="AW56" s="79" t="s">
        <v>222</v>
      </c>
      <c r="AX56" s="79" t="s">
        <v>147</v>
      </c>
      <c r="AY56" s="71" t="s">
        <v>137</v>
      </c>
      <c r="BA56" s="77">
        <f>AU56+AV56</f>
        <v>0</v>
      </c>
      <c r="BB56" s="77">
        <f>G56/(100-BC56)*100</f>
        <v>0</v>
      </c>
      <c r="BC56" s="77">
        <v>0</v>
      </c>
      <c r="BD56" s="77">
        <f>L56</f>
        <v>0</v>
      </c>
      <c r="BF56" s="77">
        <f>F56*AM56</f>
        <v>0</v>
      </c>
      <c r="BG56" s="77">
        <f>F56*AN56</f>
        <v>0</v>
      </c>
      <c r="BH56" s="77">
        <f>F56*G56</f>
        <v>0</v>
      </c>
      <c r="BI56" s="77"/>
      <c r="BJ56" s="77">
        <v>16</v>
      </c>
      <c r="BU56" s="77" t="e">
        <f>#REF!</f>
        <v>#REF!</v>
      </c>
      <c r="BV56" s="70" t="s">
        <v>226</v>
      </c>
    </row>
    <row r="57" spans="1:74" ht="67.5" customHeight="1" x14ac:dyDescent="0.25">
      <c r="A57" s="104"/>
      <c r="B57" s="81" t="s">
        <v>138</v>
      </c>
      <c r="C57" s="303" t="s">
        <v>837</v>
      </c>
      <c r="D57" s="304"/>
      <c r="E57" s="304"/>
      <c r="F57" s="304"/>
      <c r="G57" s="304"/>
      <c r="H57" s="304"/>
      <c r="I57" s="304"/>
      <c r="J57" s="304"/>
      <c r="K57" s="304"/>
      <c r="L57" s="304"/>
      <c r="M57" s="305"/>
    </row>
    <row r="58" spans="1:74" x14ac:dyDescent="0.25">
      <c r="A58" s="92" t="s">
        <v>232</v>
      </c>
      <c r="B58" s="69" t="s">
        <v>229</v>
      </c>
      <c r="C58" s="306" t="s">
        <v>230</v>
      </c>
      <c r="D58" s="307"/>
      <c r="E58" s="69" t="s">
        <v>177</v>
      </c>
      <c r="F58" s="77">
        <v>7.23</v>
      </c>
      <c r="G58" s="218">
        <v>0</v>
      </c>
      <c r="H58" s="77">
        <f>F58*AM58</f>
        <v>0</v>
      </c>
      <c r="I58" s="77">
        <f>F58*AN58</f>
        <v>0</v>
      </c>
      <c r="J58" s="77">
        <f>F58*G58</f>
        <v>0</v>
      </c>
      <c r="K58" s="77">
        <v>0</v>
      </c>
      <c r="L58" s="77">
        <f>F58*K58</f>
        <v>0</v>
      </c>
      <c r="M58" s="103" t="s">
        <v>35</v>
      </c>
      <c r="X58" s="77">
        <f>IF(AO58="5",BH58,0)</f>
        <v>0</v>
      </c>
      <c r="Z58" s="77">
        <f>IF(AO58="1",BF58,0)</f>
        <v>0</v>
      </c>
      <c r="AA58" s="77">
        <f>IF(AO58="1",BG58,0)</f>
        <v>0</v>
      </c>
      <c r="AB58" s="77">
        <f>IF(AO58="7",BF58,0)</f>
        <v>0</v>
      </c>
      <c r="AC58" s="77">
        <f>IF(AO58="7",BG58,0)</f>
        <v>0</v>
      </c>
      <c r="AD58" s="77">
        <f>IF(AO58="2",BF58,0)</f>
        <v>0</v>
      </c>
      <c r="AE58" s="77">
        <f>IF(AO58="2",BG58,0)</f>
        <v>0</v>
      </c>
      <c r="AF58" s="77">
        <f>IF(AO58="0",BH58,0)</f>
        <v>0</v>
      </c>
      <c r="AG58" s="71" t="s">
        <v>129</v>
      </c>
      <c r="AH58" s="77">
        <f>IF(AL58=0,J58,0)</f>
        <v>0</v>
      </c>
      <c r="AI58" s="77">
        <f>IF(AL58=15,J58,0)</f>
        <v>0</v>
      </c>
      <c r="AJ58" s="77">
        <f>IF(AL58=21,J58,0)</f>
        <v>0</v>
      </c>
      <c r="AL58" s="77">
        <v>15</v>
      </c>
      <c r="AM58" s="77">
        <f>G58*0</f>
        <v>0</v>
      </c>
      <c r="AN58" s="77">
        <f>G58*(1-0)</f>
        <v>0</v>
      </c>
      <c r="AO58" s="79" t="s">
        <v>132</v>
      </c>
      <c r="AT58" s="77">
        <f>AU58+AV58</f>
        <v>0</v>
      </c>
      <c r="AU58" s="77">
        <f>F58*AM58</f>
        <v>0</v>
      </c>
      <c r="AV58" s="77">
        <f>F58*AN58</f>
        <v>0</v>
      </c>
      <c r="AW58" s="79" t="s">
        <v>222</v>
      </c>
      <c r="AX58" s="79" t="s">
        <v>147</v>
      </c>
      <c r="AY58" s="71" t="s">
        <v>137</v>
      </c>
      <c r="BA58" s="77">
        <f>AU58+AV58</f>
        <v>0</v>
      </c>
      <c r="BB58" s="77">
        <f>G58/(100-BC58)*100</f>
        <v>0</v>
      </c>
      <c r="BC58" s="77">
        <v>0</v>
      </c>
      <c r="BD58" s="77">
        <f>L58</f>
        <v>0</v>
      </c>
      <c r="BF58" s="77">
        <f>F58*AM58</f>
        <v>0</v>
      </c>
      <c r="BG58" s="77">
        <f>F58*AN58</f>
        <v>0</v>
      </c>
      <c r="BH58" s="77">
        <f>F58*G58</f>
        <v>0</v>
      </c>
      <c r="BI58" s="77"/>
      <c r="BJ58" s="77">
        <v>16</v>
      </c>
      <c r="BU58" s="77" t="e">
        <f>#REF!</f>
        <v>#REF!</v>
      </c>
      <c r="BV58" s="70" t="s">
        <v>230</v>
      </c>
    </row>
    <row r="59" spans="1:74" ht="67.5" customHeight="1" x14ac:dyDescent="0.25">
      <c r="A59" s="104"/>
      <c r="B59" s="81" t="s">
        <v>138</v>
      </c>
      <c r="C59" s="303" t="s">
        <v>838</v>
      </c>
      <c r="D59" s="304"/>
      <c r="E59" s="304"/>
      <c r="F59" s="304"/>
      <c r="G59" s="304"/>
      <c r="H59" s="304"/>
      <c r="I59" s="304"/>
      <c r="J59" s="304"/>
      <c r="K59" s="304"/>
      <c r="L59" s="304"/>
      <c r="M59" s="305"/>
    </row>
    <row r="60" spans="1:74" x14ac:dyDescent="0.25">
      <c r="A60" s="92" t="s">
        <v>236</v>
      </c>
      <c r="B60" s="69" t="s">
        <v>233</v>
      </c>
      <c r="C60" s="306" t="s">
        <v>234</v>
      </c>
      <c r="D60" s="307"/>
      <c r="E60" s="69" t="s">
        <v>177</v>
      </c>
      <c r="F60" s="77">
        <v>6.38</v>
      </c>
      <c r="G60" s="218">
        <v>0</v>
      </c>
      <c r="H60" s="77">
        <f>F60*AM60</f>
        <v>0</v>
      </c>
      <c r="I60" s="77">
        <f>F60*AN60</f>
        <v>0</v>
      </c>
      <c r="J60" s="77">
        <f>F60*G60</f>
        <v>0</v>
      </c>
      <c r="K60" s="77">
        <v>0</v>
      </c>
      <c r="L60" s="77">
        <f>F60*K60</f>
        <v>0</v>
      </c>
      <c r="M60" s="103" t="s">
        <v>35</v>
      </c>
      <c r="X60" s="77">
        <f>IF(AO60="5",BH60,0)</f>
        <v>0</v>
      </c>
      <c r="Z60" s="77">
        <f>IF(AO60="1",BF60,0)</f>
        <v>0</v>
      </c>
      <c r="AA60" s="77">
        <f>IF(AO60="1",BG60,0)</f>
        <v>0</v>
      </c>
      <c r="AB60" s="77">
        <f>IF(AO60="7",BF60,0)</f>
        <v>0</v>
      </c>
      <c r="AC60" s="77">
        <f>IF(AO60="7",BG60,0)</f>
        <v>0</v>
      </c>
      <c r="AD60" s="77">
        <f>IF(AO60="2",BF60,0)</f>
        <v>0</v>
      </c>
      <c r="AE60" s="77">
        <f>IF(AO60="2",BG60,0)</f>
        <v>0</v>
      </c>
      <c r="AF60" s="77">
        <f>IF(AO60="0",BH60,0)</f>
        <v>0</v>
      </c>
      <c r="AG60" s="71" t="s">
        <v>129</v>
      </c>
      <c r="AH60" s="77">
        <f>IF(AL60=0,J60,0)</f>
        <v>0</v>
      </c>
      <c r="AI60" s="77">
        <f>IF(AL60=15,J60,0)</f>
        <v>0</v>
      </c>
      <c r="AJ60" s="77">
        <f>IF(AL60=21,J60,0)</f>
        <v>0</v>
      </c>
      <c r="AL60" s="77">
        <v>15</v>
      </c>
      <c r="AM60" s="77">
        <f>G60*0</f>
        <v>0</v>
      </c>
      <c r="AN60" s="77">
        <f>G60*(1-0)</f>
        <v>0</v>
      </c>
      <c r="AO60" s="79" t="s">
        <v>132</v>
      </c>
      <c r="AT60" s="77">
        <f>AU60+AV60</f>
        <v>0</v>
      </c>
      <c r="AU60" s="77">
        <f>F60*AM60</f>
        <v>0</v>
      </c>
      <c r="AV60" s="77">
        <f>F60*AN60</f>
        <v>0</v>
      </c>
      <c r="AW60" s="79" t="s">
        <v>222</v>
      </c>
      <c r="AX60" s="79" t="s">
        <v>147</v>
      </c>
      <c r="AY60" s="71" t="s">
        <v>137</v>
      </c>
      <c r="BA60" s="77">
        <f>AU60+AV60</f>
        <v>0</v>
      </c>
      <c r="BB60" s="77">
        <f>G60/(100-BC60)*100</f>
        <v>0</v>
      </c>
      <c r="BC60" s="77">
        <v>0</v>
      </c>
      <c r="BD60" s="77">
        <f>L60</f>
        <v>0</v>
      </c>
      <c r="BF60" s="77">
        <f>F60*AM60</f>
        <v>0</v>
      </c>
      <c r="BG60" s="77">
        <f>F60*AN60</f>
        <v>0</v>
      </c>
      <c r="BH60" s="77">
        <f>F60*G60</f>
        <v>0</v>
      </c>
      <c r="BI60" s="77"/>
      <c r="BJ60" s="77">
        <v>16</v>
      </c>
      <c r="BU60" s="77" t="e">
        <f>#REF!</f>
        <v>#REF!</v>
      </c>
      <c r="BV60" s="70" t="s">
        <v>234</v>
      </c>
    </row>
    <row r="61" spans="1:74" ht="54" customHeight="1" x14ac:dyDescent="0.25">
      <c r="A61" s="104"/>
      <c r="B61" s="81" t="s">
        <v>138</v>
      </c>
      <c r="C61" s="303" t="s">
        <v>839</v>
      </c>
      <c r="D61" s="304"/>
      <c r="E61" s="304"/>
      <c r="F61" s="304"/>
      <c r="G61" s="304"/>
      <c r="H61" s="304"/>
      <c r="I61" s="304"/>
      <c r="J61" s="304"/>
      <c r="K61" s="304"/>
      <c r="L61" s="304"/>
      <c r="M61" s="305"/>
    </row>
    <row r="62" spans="1:74" x14ac:dyDescent="0.25">
      <c r="A62" s="92" t="s">
        <v>240</v>
      </c>
      <c r="B62" s="69" t="s">
        <v>840</v>
      </c>
      <c r="C62" s="306" t="s">
        <v>841</v>
      </c>
      <c r="D62" s="307"/>
      <c r="E62" s="69" t="s">
        <v>177</v>
      </c>
      <c r="F62" s="77">
        <v>11.7</v>
      </c>
      <c r="G62" s="218">
        <v>0</v>
      </c>
      <c r="H62" s="77">
        <f>F62*AM62</f>
        <v>0</v>
      </c>
      <c r="I62" s="77">
        <f>F62*AN62</f>
        <v>0</v>
      </c>
      <c r="J62" s="77">
        <f>F62*G62</f>
        <v>0</v>
      </c>
      <c r="K62" s="77">
        <v>0</v>
      </c>
      <c r="L62" s="77">
        <f>F62*K62</f>
        <v>0</v>
      </c>
      <c r="M62" s="103" t="s">
        <v>35</v>
      </c>
      <c r="X62" s="77">
        <f>IF(AO62="5",BH62,0)</f>
        <v>0</v>
      </c>
      <c r="Z62" s="77">
        <f>IF(AO62="1",BF62,0)</f>
        <v>0</v>
      </c>
      <c r="AA62" s="77">
        <f>IF(AO62="1",BG62,0)</f>
        <v>0</v>
      </c>
      <c r="AB62" s="77">
        <f>IF(AO62="7",BF62,0)</f>
        <v>0</v>
      </c>
      <c r="AC62" s="77">
        <f>IF(AO62="7",BG62,0)</f>
        <v>0</v>
      </c>
      <c r="AD62" s="77">
        <f>IF(AO62="2",BF62,0)</f>
        <v>0</v>
      </c>
      <c r="AE62" s="77">
        <f>IF(AO62="2",BG62,0)</f>
        <v>0</v>
      </c>
      <c r="AF62" s="77">
        <f>IF(AO62="0",BH62,0)</f>
        <v>0</v>
      </c>
      <c r="AG62" s="71" t="s">
        <v>129</v>
      </c>
      <c r="AH62" s="77">
        <f>IF(AL62=0,J62,0)</f>
        <v>0</v>
      </c>
      <c r="AI62" s="77">
        <f>IF(AL62=15,J62,0)</f>
        <v>0</v>
      </c>
      <c r="AJ62" s="77">
        <f>IF(AL62=21,J62,0)</f>
        <v>0</v>
      </c>
      <c r="AL62" s="77">
        <v>15</v>
      </c>
      <c r="AM62" s="77">
        <f>G62*0</f>
        <v>0</v>
      </c>
      <c r="AN62" s="77">
        <f>G62*(1-0)</f>
        <v>0</v>
      </c>
      <c r="AO62" s="79" t="s">
        <v>132</v>
      </c>
      <c r="AT62" s="77">
        <f>AU62+AV62</f>
        <v>0</v>
      </c>
      <c r="AU62" s="77">
        <f>F62*AM62</f>
        <v>0</v>
      </c>
      <c r="AV62" s="77">
        <f>F62*AN62</f>
        <v>0</v>
      </c>
      <c r="AW62" s="79" t="s">
        <v>222</v>
      </c>
      <c r="AX62" s="79" t="s">
        <v>147</v>
      </c>
      <c r="AY62" s="71" t="s">
        <v>137</v>
      </c>
      <c r="BA62" s="77">
        <f>AU62+AV62</f>
        <v>0</v>
      </c>
      <c r="BB62" s="77">
        <f>G62/(100-BC62)*100</f>
        <v>0</v>
      </c>
      <c r="BC62" s="77">
        <v>0</v>
      </c>
      <c r="BD62" s="77">
        <f>L62</f>
        <v>0</v>
      </c>
      <c r="BF62" s="77">
        <f>F62*AM62</f>
        <v>0</v>
      </c>
      <c r="BG62" s="77">
        <f>F62*AN62</f>
        <v>0</v>
      </c>
      <c r="BH62" s="77">
        <f>F62*G62</f>
        <v>0</v>
      </c>
      <c r="BI62" s="77"/>
      <c r="BJ62" s="77">
        <v>16</v>
      </c>
      <c r="BU62" s="77" t="e">
        <f>#REF!</f>
        <v>#REF!</v>
      </c>
      <c r="BV62" s="70" t="s">
        <v>841</v>
      </c>
    </row>
    <row r="63" spans="1:74" ht="40.5" customHeight="1" x14ac:dyDescent="0.25">
      <c r="A63" s="104"/>
      <c r="B63" s="81" t="s">
        <v>138</v>
      </c>
      <c r="C63" s="303" t="s">
        <v>842</v>
      </c>
      <c r="D63" s="304"/>
      <c r="E63" s="304"/>
      <c r="F63" s="304"/>
      <c r="G63" s="304"/>
      <c r="H63" s="304"/>
      <c r="I63" s="304"/>
      <c r="J63" s="304"/>
      <c r="K63" s="304"/>
      <c r="L63" s="304"/>
      <c r="M63" s="305"/>
    </row>
    <row r="64" spans="1:74" x14ac:dyDescent="0.25">
      <c r="A64" s="92" t="s">
        <v>245</v>
      </c>
      <c r="B64" s="69" t="s">
        <v>241</v>
      </c>
      <c r="C64" s="306" t="s">
        <v>242</v>
      </c>
      <c r="D64" s="307"/>
      <c r="E64" s="69" t="s">
        <v>177</v>
      </c>
      <c r="F64" s="77">
        <v>11.7</v>
      </c>
      <c r="G64" s="218">
        <v>0</v>
      </c>
      <c r="H64" s="77">
        <f>F64*AM64</f>
        <v>0</v>
      </c>
      <c r="I64" s="77">
        <f>F64*AN64</f>
        <v>0</v>
      </c>
      <c r="J64" s="77">
        <f>F64*G64</f>
        <v>0</v>
      </c>
      <c r="K64" s="77">
        <v>0</v>
      </c>
      <c r="L64" s="77">
        <f>F64*K64</f>
        <v>0</v>
      </c>
      <c r="M64" s="103" t="s">
        <v>35</v>
      </c>
      <c r="X64" s="77">
        <f>IF(AO64="5",BH64,0)</f>
        <v>0</v>
      </c>
      <c r="Z64" s="77">
        <f>IF(AO64="1",BF64,0)</f>
        <v>0</v>
      </c>
      <c r="AA64" s="77">
        <f>IF(AO64="1",BG64,0)</f>
        <v>0</v>
      </c>
      <c r="AB64" s="77">
        <f>IF(AO64="7",BF64,0)</f>
        <v>0</v>
      </c>
      <c r="AC64" s="77">
        <f>IF(AO64="7",BG64,0)</f>
        <v>0</v>
      </c>
      <c r="AD64" s="77">
        <f>IF(AO64="2",BF64,0)</f>
        <v>0</v>
      </c>
      <c r="AE64" s="77">
        <f>IF(AO64="2",BG64,0)</f>
        <v>0</v>
      </c>
      <c r="AF64" s="77">
        <f>IF(AO64="0",BH64,0)</f>
        <v>0</v>
      </c>
      <c r="AG64" s="71" t="s">
        <v>129</v>
      </c>
      <c r="AH64" s="77">
        <f>IF(AL64=0,J64,0)</f>
        <v>0</v>
      </c>
      <c r="AI64" s="77">
        <f>IF(AL64=15,J64,0)</f>
        <v>0</v>
      </c>
      <c r="AJ64" s="77">
        <f>IF(AL64=21,J64,0)</f>
        <v>0</v>
      </c>
      <c r="AL64" s="77">
        <v>15</v>
      </c>
      <c r="AM64" s="77">
        <f>G64*0</f>
        <v>0</v>
      </c>
      <c r="AN64" s="77">
        <f>G64*(1-0)</f>
        <v>0</v>
      </c>
      <c r="AO64" s="79" t="s">
        <v>132</v>
      </c>
      <c r="AT64" s="77">
        <f>AU64+AV64</f>
        <v>0</v>
      </c>
      <c r="AU64" s="77">
        <f>F64*AM64</f>
        <v>0</v>
      </c>
      <c r="AV64" s="77">
        <f>F64*AN64</f>
        <v>0</v>
      </c>
      <c r="AW64" s="79" t="s">
        <v>222</v>
      </c>
      <c r="AX64" s="79" t="s">
        <v>147</v>
      </c>
      <c r="AY64" s="71" t="s">
        <v>137</v>
      </c>
      <c r="BA64" s="77">
        <f>AU64+AV64</f>
        <v>0</v>
      </c>
      <c r="BB64" s="77">
        <f>G64/(100-BC64)*100</f>
        <v>0</v>
      </c>
      <c r="BC64" s="77">
        <v>0</v>
      </c>
      <c r="BD64" s="77">
        <f>L64</f>
        <v>0</v>
      </c>
      <c r="BF64" s="77">
        <f>F64*AM64</f>
        <v>0</v>
      </c>
      <c r="BG64" s="77">
        <f>F64*AN64</f>
        <v>0</v>
      </c>
      <c r="BH64" s="77">
        <f>F64*G64</f>
        <v>0</v>
      </c>
      <c r="BI64" s="77"/>
      <c r="BJ64" s="77">
        <v>16</v>
      </c>
      <c r="BU64" s="77" t="e">
        <f>#REF!</f>
        <v>#REF!</v>
      </c>
      <c r="BV64" s="70" t="s">
        <v>242</v>
      </c>
    </row>
    <row r="65" spans="1:74" ht="40.5" customHeight="1" x14ac:dyDescent="0.25">
      <c r="A65" s="104"/>
      <c r="B65" s="81" t="s">
        <v>138</v>
      </c>
      <c r="C65" s="303" t="s">
        <v>843</v>
      </c>
      <c r="D65" s="304"/>
      <c r="E65" s="304"/>
      <c r="F65" s="304"/>
      <c r="G65" s="304"/>
      <c r="H65" s="304"/>
      <c r="I65" s="304"/>
      <c r="J65" s="304"/>
      <c r="K65" s="304"/>
      <c r="L65" s="304"/>
      <c r="M65" s="305"/>
    </row>
    <row r="66" spans="1:74" x14ac:dyDescent="0.25">
      <c r="A66" s="105" t="s">
        <v>129</v>
      </c>
      <c r="B66" s="74" t="s">
        <v>214</v>
      </c>
      <c r="C66" s="314" t="s">
        <v>244</v>
      </c>
      <c r="D66" s="315"/>
      <c r="E66" s="75" t="s">
        <v>87</v>
      </c>
      <c r="F66" s="75" t="s">
        <v>87</v>
      </c>
      <c r="G66" s="75" t="s">
        <v>87</v>
      </c>
      <c r="H66" s="67">
        <f>SUM(H67:H70)</f>
        <v>0</v>
      </c>
      <c r="I66" s="67">
        <f>SUM(I67:I70)</f>
        <v>0</v>
      </c>
      <c r="J66" s="67">
        <f>SUM(J67:J70)</f>
        <v>0</v>
      </c>
      <c r="K66" s="71" t="s">
        <v>129</v>
      </c>
      <c r="L66" s="67">
        <f>SUM(L67:L70)</f>
        <v>8.9079999999999995</v>
      </c>
      <c r="M66" s="106" t="s">
        <v>129</v>
      </c>
      <c r="AG66" s="71" t="s">
        <v>129</v>
      </c>
      <c r="AQ66" s="67">
        <f>SUM(AH67:AH70)</f>
        <v>0</v>
      </c>
      <c r="AR66" s="67">
        <f>SUM(AI67:AI70)</f>
        <v>0</v>
      </c>
      <c r="AS66" s="67">
        <f>SUM(AJ67:AJ70)</f>
        <v>0</v>
      </c>
    </row>
    <row r="67" spans="1:74" x14ac:dyDescent="0.25">
      <c r="A67" s="92" t="s">
        <v>250</v>
      </c>
      <c r="B67" s="69" t="s">
        <v>246</v>
      </c>
      <c r="C67" s="306" t="s">
        <v>247</v>
      </c>
      <c r="D67" s="307"/>
      <c r="E67" s="69" t="s">
        <v>177</v>
      </c>
      <c r="F67" s="77">
        <v>5.24</v>
      </c>
      <c r="G67" s="218">
        <v>0</v>
      </c>
      <c r="H67" s="77">
        <f>F67*AM67</f>
        <v>0</v>
      </c>
      <c r="I67" s="77">
        <f>F67*AN67</f>
        <v>0</v>
      </c>
      <c r="J67" s="77">
        <f>F67*G67</f>
        <v>0</v>
      </c>
      <c r="K67" s="77">
        <v>1.7</v>
      </c>
      <c r="L67" s="77">
        <f>F67*K67</f>
        <v>8.9079999999999995</v>
      </c>
      <c r="M67" s="103" t="s">
        <v>35</v>
      </c>
      <c r="X67" s="77">
        <f>IF(AO67="5",BH67,0)</f>
        <v>0</v>
      </c>
      <c r="Z67" s="77">
        <f>IF(AO67="1",BF67,0)</f>
        <v>0</v>
      </c>
      <c r="AA67" s="77">
        <f>IF(AO67="1",BG67,0)</f>
        <v>0</v>
      </c>
      <c r="AB67" s="77">
        <f>IF(AO67="7",BF67,0)</f>
        <v>0</v>
      </c>
      <c r="AC67" s="77">
        <f>IF(AO67="7",BG67,0)</f>
        <v>0</v>
      </c>
      <c r="AD67" s="77">
        <f>IF(AO67="2",BF67,0)</f>
        <v>0</v>
      </c>
      <c r="AE67" s="77">
        <f>IF(AO67="2",BG67,0)</f>
        <v>0</v>
      </c>
      <c r="AF67" s="77">
        <f>IF(AO67="0",BH67,0)</f>
        <v>0</v>
      </c>
      <c r="AG67" s="71" t="s">
        <v>129</v>
      </c>
      <c r="AH67" s="77">
        <f>IF(AL67=0,J67,0)</f>
        <v>0</v>
      </c>
      <c r="AI67" s="77">
        <f>IF(AL67=15,J67,0)</f>
        <v>0</v>
      </c>
      <c r="AJ67" s="77">
        <f>IF(AL67=21,J67,0)</f>
        <v>0</v>
      </c>
      <c r="AL67" s="77">
        <v>15</v>
      </c>
      <c r="AM67" s="77">
        <f>G67*0.512977543</f>
        <v>0</v>
      </c>
      <c r="AN67" s="77">
        <f>G67*(1-0.512977543)</f>
        <v>0</v>
      </c>
      <c r="AO67" s="79" t="s">
        <v>132</v>
      </c>
      <c r="AT67" s="77">
        <f>AU67+AV67</f>
        <v>0</v>
      </c>
      <c r="AU67" s="77">
        <f>F67*AM67</f>
        <v>0</v>
      </c>
      <c r="AV67" s="77">
        <f>F67*AN67</f>
        <v>0</v>
      </c>
      <c r="AW67" s="79" t="s">
        <v>248</v>
      </c>
      <c r="AX67" s="79" t="s">
        <v>147</v>
      </c>
      <c r="AY67" s="71" t="s">
        <v>137</v>
      </c>
      <c r="BA67" s="77">
        <f>AU67+AV67</f>
        <v>0</v>
      </c>
      <c r="BB67" s="77">
        <f>G67/(100-BC67)*100</f>
        <v>0</v>
      </c>
      <c r="BC67" s="77">
        <v>0</v>
      </c>
      <c r="BD67" s="77">
        <f>L67</f>
        <v>8.9079999999999995</v>
      </c>
      <c r="BF67" s="77">
        <f>F67*AM67</f>
        <v>0</v>
      </c>
      <c r="BG67" s="77">
        <f>F67*AN67</f>
        <v>0</v>
      </c>
      <c r="BH67" s="77">
        <f>F67*G67</f>
        <v>0</v>
      </c>
      <c r="BI67" s="77"/>
      <c r="BJ67" s="77">
        <v>17</v>
      </c>
      <c r="BU67" s="77" t="e">
        <f>#REF!</f>
        <v>#REF!</v>
      </c>
      <c r="BV67" s="70" t="s">
        <v>247</v>
      </c>
    </row>
    <row r="68" spans="1:74" ht="67.5" customHeight="1" x14ac:dyDescent="0.25">
      <c r="A68" s="104"/>
      <c r="B68" s="81" t="s">
        <v>138</v>
      </c>
      <c r="C68" s="303" t="s">
        <v>844</v>
      </c>
      <c r="D68" s="304"/>
      <c r="E68" s="304"/>
      <c r="F68" s="304"/>
      <c r="G68" s="304"/>
      <c r="H68" s="304"/>
      <c r="I68" s="304"/>
      <c r="J68" s="304"/>
      <c r="K68" s="304"/>
      <c r="L68" s="304"/>
      <c r="M68" s="305"/>
    </row>
    <row r="69" spans="1:74" x14ac:dyDescent="0.25">
      <c r="A69" s="92" t="s">
        <v>253</v>
      </c>
      <c r="B69" s="69" t="s">
        <v>251</v>
      </c>
      <c r="C69" s="306" t="s">
        <v>252</v>
      </c>
      <c r="D69" s="307"/>
      <c r="E69" s="69" t="s">
        <v>177</v>
      </c>
      <c r="F69" s="77">
        <v>5.24</v>
      </c>
      <c r="G69" s="218">
        <v>0</v>
      </c>
      <c r="H69" s="77">
        <f>F69*AM69</f>
        <v>0</v>
      </c>
      <c r="I69" s="77">
        <f>F69*AN69</f>
        <v>0</v>
      </c>
      <c r="J69" s="77">
        <f>F69*G69</f>
        <v>0</v>
      </c>
      <c r="K69" s="77">
        <v>0</v>
      </c>
      <c r="L69" s="77">
        <f>F69*K69</f>
        <v>0</v>
      </c>
      <c r="M69" s="103" t="s">
        <v>35</v>
      </c>
      <c r="X69" s="77">
        <f>IF(AO69="5",BH69,0)</f>
        <v>0</v>
      </c>
      <c r="Z69" s="77">
        <f>IF(AO69="1",BF69,0)</f>
        <v>0</v>
      </c>
      <c r="AA69" s="77">
        <f>IF(AO69="1",BG69,0)</f>
        <v>0</v>
      </c>
      <c r="AB69" s="77">
        <f>IF(AO69="7",BF69,0)</f>
        <v>0</v>
      </c>
      <c r="AC69" s="77">
        <f>IF(AO69="7",BG69,0)</f>
        <v>0</v>
      </c>
      <c r="AD69" s="77">
        <f>IF(AO69="2",BF69,0)</f>
        <v>0</v>
      </c>
      <c r="AE69" s="77">
        <f>IF(AO69="2",BG69,0)</f>
        <v>0</v>
      </c>
      <c r="AF69" s="77">
        <f>IF(AO69="0",BH69,0)</f>
        <v>0</v>
      </c>
      <c r="AG69" s="71" t="s">
        <v>129</v>
      </c>
      <c r="AH69" s="77">
        <f>IF(AL69=0,J69,0)</f>
        <v>0</v>
      </c>
      <c r="AI69" s="77">
        <f>IF(AL69=15,J69,0)</f>
        <v>0</v>
      </c>
      <c r="AJ69" s="77">
        <f>IF(AL69=21,J69,0)</f>
        <v>0</v>
      </c>
      <c r="AL69" s="77">
        <v>15</v>
      </c>
      <c r="AM69" s="77">
        <f>G69*0</f>
        <v>0</v>
      </c>
      <c r="AN69" s="77">
        <f>G69*(1-0)</f>
        <v>0</v>
      </c>
      <c r="AO69" s="79" t="s">
        <v>132</v>
      </c>
      <c r="AT69" s="77">
        <f>AU69+AV69</f>
        <v>0</v>
      </c>
      <c r="AU69" s="77">
        <f>F69*AM69</f>
        <v>0</v>
      </c>
      <c r="AV69" s="77">
        <f>F69*AN69</f>
        <v>0</v>
      </c>
      <c r="AW69" s="79" t="s">
        <v>248</v>
      </c>
      <c r="AX69" s="79" t="s">
        <v>147</v>
      </c>
      <c r="AY69" s="71" t="s">
        <v>137</v>
      </c>
      <c r="BA69" s="77">
        <f>AU69+AV69</f>
        <v>0</v>
      </c>
      <c r="BB69" s="77">
        <f>G69/(100-BC69)*100</f>
        <v>0</v>
      </c>
      <c r="BC69" s="77">
        <v>0</v>
      </c>
      <c r="BD69" s="77">
        <f>L69</f>
        <v>0</v>
      </c>
      <c r="BF69" s="77">
        <f>F69*AM69</f>
        <v>0</v>
      </c>
      <c r="BG69" s="77">
        <f>F69*AN69</f>
        <v>0</v>
      </c>
      <c r="BH69" s="77">
        <f>F69*G69</f>
        <v>0</v>
      </c>
      <c r="BI69" s="77"/>
      <c r="BJ69" s="77">
        <v>17</v>
      </c>
      <c r="BU69" s="77" t="e">
        <f>#REF!</f>
        <v>#REF!</v>
      </c>
      <c r="BV69" s="70" t="s">
        <v>252</v>
      </c>
    </row>
    <row r="70" spans="1:74" x14ac:dyDescent="0.25">
      <c r="A70" s="92" t="s">
        <v>258</v>
      </c>
      <c r="B70" s="69" t="s">
        <v>254</v>
      </c>
      <c r="C70" s="306" t="s">
        <v>255</v>
      </c>
      <c r="D70" s="307"/>
      <c r="E70" s="69" t="s">
        <v>177</v>
      </c>
      <c r="F70" s="77">
        <v>5.85</v>
      </c>
      <c r="G70" s="218">
        <v>0</v>
      </c>
      <c r="H70" s="77">
        <f>F70*AM70</f>
        <v>0</v>
      </c>
      <c r="I70" s="77">
        <f>F70*AN70</f>
        <v>0</v>
      </c>
      <c r="J70" s="77">
        <f>F70*G70</f>
        <v>0</v>
      </c>
      <c r="K70" s="77">
        <v>0</v>
      </c>
      <c r="L70" s="77">
        <f>F70*K70</f>
        <v>0</v>
      </c>
      <c r="M70" s="103" t="s">
        <v>35</v>
      </c>
      <c r="X70" s="77">
        <f>IF(AO70="5",BH70,0)</f>
        <v>0</v>
      </c>
      <c r="Z70" s="77">
        <f>IF(AO70="1",BF70,0)</f>
        <v>0</v>
      </c>
      <c r="AA70" s="77">
        <f>IF(AO70="1",BG70,0)</f>
        <v>0</v>
      </c>
      <c r="AB70" s="77">
        <f>IF(AO70="7",BF70,0)</f>
        <v>0</v>
      </c>
      <c r="AC70" s="77">
        <f>IF(AO70="7",BG70,0)</f>
        <v>0</v>
      </c>
      <c r="AD70" s="77">
        <f>IF(AO70="2",BF70,0)</f>
        <v>0</v>
      </c>
      <c r="AE70" s="77">
        <f>IF(AO70="2",BG70,0)</f>
        <v>0</v>
      </c>
      <c r="AF70" s="77">
        <f>IF(AO70="0",BH70,0)</f>
        <v>0</v>
      </c>
      <c r="AG70" s="71" t="s">
        <v>129</v>
      </c>
      <c r="AH70" s="77">
        <f>IF(AL70=0,J70,0)</f>
        <v>0</v>
      </c>
      <c r="AI70" s="77">
        <f>IF(AL70=15,J70,0)</f>
        <v>0</v>
      </c>
      <c r="AJ70" s="77">
        <f>IF(AL70=21,J70,0)</f>
        <v>0</v>
      </c>
      <c r="AL70" s="77">
        <v>15</v>
      </c>
      <c r="AM70" s="77">
        <f>G70*0</f>
        <v>0</v>
      </c>
      <c r="AN70" s="77">
        <f>G70*(1-0)</f>
        <v>0</v>
      </c>
      <c r="AO70" s="79" t="s">
        <v>132</v>
      </c>
      <c r="AT70" s="77">
        <f>AU70+AV70</f>
        <v>0</v>
      </c>
      <c r="AU70" s="77">
        <f>F70*AM70</f>
        <v>0</v>
      </c>
      <c r="AV70" s="77">
        <f>F70*AN70</f>
        <v>0</v>
      </c>
      <c r="AW70" s="79" t="s">
        <v>248</v>
      </c>
      <c r="AX70" s="79" t="s">
        <v>147</v>
      </c>
      <c r="AY70" s="71" t="s">
        <v>137</v>
      </c>
      <c r="BA70" s="77">
        <f>AU70+AV70</f>
        <v>0</v>
      </c>
      <c r="BB70" s="77">
        <f>G70/(100-BC70)*100</f>
        <v>0</v>
      </c>
      <c r="BC70" s="77">
        <v>0</v>
      </c>
      <c r="BD70" s="77">
        <f>L70</f>
        <v>0</v>
      </c>
      <c r="BF70" s="77">
        <f>F70*AM70</f>
        <v>0</v>
      </c>
      <c r="BG70" s="77">
        <f>F70*AN70</f>
        <v>0</v>
      </c>
      <c r="BH70" s="77">
        <f>F70*G70</f>
        <v>0</v>
      </c>
      <c r="BI70" s="77"/>
      <c r="BJ70" s="77">
        <v>17</v>
      </c>
      <c r="BU70" s="77" t="e">
        <f>#REF!</f>
        <v>#REF!</v>
      </c>
      <c r="BV70" s="70" t="s">
        <v>255</v>
      </c>
    </row>
    <row r="71" spans="1:74" ht="67.5" customHeight="1" x14ac:dyDescent="0.25">
      <c r="A71" s="104"/>
      <c r="B71" s="81" t="s">
        <v>138</v>
      </c>
      <c r="C71" s="303" t="s">
        <v>845</v>
      </c>
      <c r="D71" s="304"/>
      <c r="E71" s="304"/>
      <c r="F71" s="304"/>
      <c r="G71" s="304"/>
      <c r="H71" s="304"/>
      <c r="I71" s="304"/>
      <c r="J71" s="304"/>
      <c r="K71" s="304"/>
      <c r="L71" s="304"/>
      <c r="M71" s="305"/>
    </row>
    <row r="72" spans="1:74" x14ac:dyDescent="0.25">
      <c r="A72" s="105" t="s">
        <v>129</v>
      </c>
      <c r="B72" s="74" t="s">
        <v>224</v>
      </c>
      <c r="C72" s="314" t="s">
        <v>257</v>
      </c>
      <c r="D72" s="315"/>
      <c r="E72" s="75" t="s">
        <v>87</v>
      </c>
      <c r="F72" s="75" t="s">
        <v>87</v>
      </c>
      <c r="G72" s="75" t="s">
        <v>87</v>
      </c>
      <c r="H72" s="67">
        <f>SUM(H73:H75)</f>
        <v>0</v>
      </c>
      <c r="I72" s="67">
        <f>SUM(I73:I75)</f>
        <v>0</v>
      </c>
      <c r="J72" s="67">
        <f>SUM(J73:J75)</f>
        <v>0</v>
      </c>
      <c r="K72" s="71" t="s">
        <v>129</v>
      </c>
      <c r="L72" s="67">
        <f>SUM(L73:L75)</f>
        <v>0</v>
      </c>
      <c r="M72" s="106" t="s">
        <v>129</v>
      </c>
      <c r="AG72" s="71" t="s">
        <v>129</v>
      </c>
      <c r="AQ72" s="67">
        <f>SUM(AH73:AH75)</f>
        <v>0</v>
      </c>
      <c r="AR72" s="67">
        <f>SUM(AI73:AI75)</f>
        <v>0</v>
      </c>
      <c r="AS72" s="67">
        <f>SUM(AJ73:AJ75)</f>
        <v>0</v>
      </c>
    </row>
    <row r="73" spans="1:74" x14ac:dyDescent="0.25">
      <c r="A73" s="92" t="s">
        <v>263</v>
      </c>
      <c r="B73" s="69" t="s">
        <v>259</v>
      </c>
      <c r="C73" s="306" t="s">
        <v>260</v>
      </c>
      <c r="D73" s="307"/>
      <c r="E73" s="69" t="s">
        <v>177</v>
      </c>
      <c r="F73" s="77">
        <v>7.23</v>
      </c>
      <c r="G73" s="218">
        <v>0</v>
      </c>
      <c r="H73" s="77">
        <f>F73*AM73</f>
        <v>0</v>
      </c>
      <c r="I73" s="77">
        <f>F73*AN73</f>
        <v>0</v>
      </c>
      <c r="J73" s="77">
        <f>F73*G73</f>
        <v>0</v>
      </c>
      <c r="K73" s="77">
        <v>0</v>
      </c>
      <c r="L73" s="77">
        <f>F73*K73</f>
        <v>0</v>
      </c>
      <c r="M73" s="103" t="s">
        <v>35</v>
      </c>
      <c r="X73" s="77">
        <f>IF(AO73="5",BH73,0)</f>
        <v>0</v>
      </c>
      <c r="Z73" s="77">
        <f>IF(AO73="1",BF73,0)</f>
        <v>0</v>
      </c>
      <c r="AA73" s="77">
        <f>IF(AO73="1",BG73,0)</f>
        <v>0</v>
      </c>
      <c r="AB73" s="77">
        <f>IF(AO73="7",BF73,0)</f>
        <v>0</v>
      </c>
      <c r="AC73" s="77">
        <f>IF(AO73="7",BG73,0)</f>
        <v>0</v>
      </c>
      <c r="AD73" s="77">
        <f>IF(AO73="2",BF73,0)</f>
        <v>0</v>
      </c>
      <c r="AE73" s="77">
        <f>IF(AO73="2",BG73,0)</f>
        <v>0</v>
      </c>
      <c r="AF73" s="77">
        <f>IF(AO73="0",BH73,0)</f>
        <v>0</v>
      </c>
      <c r="AG73" s="71" t="s">
        <v>129</v>
      </c>
      <c r="AH73" s="77">
        <f>IF(AL73=0,J73,0)</f>
        <v>0</v>
      </c>
      <c r="AI73" s="77">
        <f>IF(AL73=15,J73,0)</f>
        <v>0</v>
      </c>
      <c r="AJ73" s="77">
        <f>IF(AL73=21,J73,0)</f>
        <v>0</v>
      </c>
      <c r="AL73" s="77">
        <v>15</v>
      </c>
      <c r="AM73" s="77">
        <f>G73*0</f>
        <v>0</v>
      </c>
      <c r="AN73" s="77">
        <f>G73*(1-0)</f>
        <v>0</v>
      </c>
      <c r="AO73" s="79" t="s">
        <v>132</v>
      </c>
      <c r="AT73" s="77">
        <f>AU73+AV73</f>
        <v>0</v>
      </c>
      <c r="AU73" s="77">
        <f>F73*AM73</f>
        <v>0</v>
      </c>
      <c r="AV73" s="77">
        <f>F73*AN73</f>
        <v>0</v>
      </c>
      <c r="AW73" s="79" t="s">
        <v>261</v>
      </c>
      <c r="AX73" s="79" t="s">
        <v>147</v>
      </c>
      <c r="AY73" s="71" t="s">
        <v>137</v>
      </c>
      <c r="BA73" s="77">
        <f>AU73+AV73</f>
        <v>0</v>
      </c>
      <c r="BB73" s="77">
        <f>G73/(100-BC73)*100</f>
        <v>0</v>
      </c>
      <c r="BC73" s="77">
        <v>0</v>
      </c>
      <c r="BD73" s="77">
        <f>L73</f>
        <v>0</v>
      </c>
      <c r="BF73" s="77">
        <f>F73*AM73</f>
        <v>0</v>
      </c>
      <c r="BG73" s="77">
        <f>F73*AN73</f>
        <v>0</v>
      </c>
      <c r="BH73" s="77">
        <f>F73*G73</f>
        <v>0</v>
      </c>
      <c r="BI73" s="77"/>
      <c r="BJ73" s="77">
        <v>19</v>
      </c>
      <c r="BU73" s="77" t="e">
        <f>#REF!</f>
        <v>#REF!</v>
      </c>
      <c r="BV73" s="70" t="s">
        <v>260</v>
      </c>
    </row>
    <row r="74" spans="1:74" ht="27" customHeight="1" x14ac:dyDescent="0.25">
      <c r="A74" s="104"/>
      <c r="B74" s="81" t="s">
        <v>138</v>
      </c>
      <c r="C74" s="303" t="s">
        <v>846</v>
      </c>
      <c r="D74" s="304"/>
      <c r="E74" s="304"/>
      <c r="F74" s="304"/>
      <c r="G74" s="304"/>
      <c r="H74" s="304"/>
      <c r="I74" s="304"/>
      <c r="J74" s="304"/>
      <c r="K74" s="304"/>
      <c r="L74" s="304"/>
      <c r="M74" s="305"/>
    </row>
    <row r="75" spans="1:74" x14ac:dyDescent="0.25">
      <c r="A75" s="92" t="s">
        <v>268</v>
      </c>
      <c r="B75" s="69" t="s">
        <v>264</v>
      </c>
      <c r="C75" s="306" t="s">
        <v>265</v>
      </c>
      <c r="D75" s="307"/>
      <c r="E75" s="69" t="s">
        <v>177</v>
      </c>
      <c r="F75" s="77">
        <v>6.38</v>
      </c>
      <c r="G75" s="218">
        <v>0</v>
      </c>
      <c r="H75" s="77">
        <f>F75*AM75</f>
        <v>0</v>
      </c>
      <c r="I75" s="77">
        <f>F75*AN75</f>
        <v>0</v>
      </c>
      <c r="J75" s="77">
        <f>F75*G75</f>
        <v>0</v>
      </c>
      <c r="K75" s="77">
        <v>0</v>
      </c>
      <c r="L75" s="77">
        <f>F75*K75</f>
        <v>0</v>
      </c>
      <c r="M75" s="103" t="s">
        <v>35</v>
      </c>
      <c r="X75" s="77">
        <f>IF(AO75="5",BH75,0)</f>
        <v>0</v>
      </c>
      <c r="Z75" s="77">
        <f>IF(AO75="1",BF75,0)</f>
        <v>0</v>
      </c>
      <c r="AA75" s="77">
        <f>IF(AO75="1",BG75,0)</f>
        <v>0</v>
      </c>
      <c r="AB75" s="77">
        <f>IF(AO75="7",BF75,0)</f>
        <v>0</v>
      </c>
      <c r="AC75" s="77">
        <f>IF(AO75="7",BG75,0)</f>
        <v>0</v>
      </c>
      <c r="AD75" s="77">
        <f>IF(AO75="2",BF75,0)</f>
        <v>0</v>
      </c>
      <c r="AE75" s="77">
        <f>IF(AO75="2",BG75,0)</f>
        <v>0</v>
      </c>
      <c r="AF75" s="77">
        <f>IF(AO75="0",BH75,0)</f>
        <v>0</v>
      </c>
      <c r="AG75" s="71" t="s">
        <v>129</v>
      </c>
      <c r="AH75" s="77">
        <f>IF(AL75=0,J75,0)</f>
        <v>0</v>
      </c>
      <c r="AI75" s="77">
        <f>IF(AL75=15,J75,0)</f>
        <v>0</v>
      </c>
      <c r="AJ75" s="77">
        <f>IF(AL75=21,J75,0)</f>
        <v>0</v>
      </c>
      <c r="AL75" s="77">
        <v>15</v>
      </c>
      <c r="AM75" s="77">
        <f>G75*0</f>
        <v>0</v>
      </c>
      <c r="AN75" s="77">
        <f>G75*(1-0)</f>
        <v>0</v>
      </c>
      <c r="AO75" s="79" t="s">
        <v>132</v>
      </c>
      <c r="AT75" s="77">
        <f>AU75+AV75</f>
        <v>0</v>
      </c>
      <c r="AU75" s="77">
        <f>F75*AM75</f>
        <v>0</v>
      </c>
      <c r="AV75" s="77">
        <f>F75*AN75</f>
        <v>0</v>
      </c>
      <c r="AW75" s="79" t="s">
        <v>261</v>
      </c>
      <c r="AX75" s="79" t="s">
        <v>147</v>
      </c>
      <c r="AY75" s="71" t="s">
        <v>137</v>
      </c>
      <c r="BA75" s="77">
        <f>AU75+AV75</f>
        <v>0</v>
      </c>
      <c r="BB75" s="77">
        <f>G75/(100-BC75)*100</f>
        <v>0</v>
      </c>
      <c r="BC75" s="77">
        <v>0</v>
      </c>
      <c r="BD75" s="77">
        <f>L75</f>
        <v>0</v>
      </c>
      <c r="BF75" s="77">
        <f>F75*AM75</f>
        <v>0</v>
      </c>
      <c r="BG75" s="77">
        <f>F75*AN75</f>
        <v>0</v>
      </c>
      <c r="BH75" s="77">
        <f>F75*G75</f>
        <v>0</v>
      </c>
      <c r="BI75" s="77"/>
      <c r="BJ75" s="77">
        <v>19</v>
      </c>
      <c r="BU75" s="77" t="e">
        <f>#REF!</f>
        <v>#REF!</v>
      </c>
      <c r="BV75" s="70" t="s">
        <v>265</v>
      </c>
    </row>
    <row r="76" spans="1:74" ht="27" customHeight="1" x14ac:dyDescent="0.25">
      <c r="A76" s="104"/>
      <c r="B76" s="81" t="s">
        <v>138</v>
      </c>
      <c r="C76" s="303" t="s">
        <v>847</v>
      </c>
      <c r="D76" s="304"/>
      <c r="E76" s="304"/>
      <c r="F76" s="304"/>
      <c r="G76" s="304"/>
      <c r="H76" s="304"/>
      <c r="I76" s="304"/>
      <c r="J76" s="304"/>
      <c r="K76" s="304"/>
      <c r="L76" s="304"/>
      <c r="M76" s="305"/>
    </row>
    <row r="77" spans="1:74" x14ac:dyDescent="0.25">
      <c r="A77" s="105" t="s">
        <v>129</v>
      </c>
      <c r="B77" s="74" t="s">
        <v>232</v>
      </c>
      <c r="C77" s="314" t="s">
        <v>267</v>
      </c>
      <c r="D77" s="315"/>
      <c r="E77" s="75" t="s">
        <v>87</v>
      </c>
      <c r="F77" s="75" t="s">
        <v>87</v>
      </c>
      <c r="G77" s="75" t="s">
        <v>87</v>
      </c>
      <c r="H77" s="67">
        <f>SUM(H78:H82)</f>
        <v>0</v>
      </c>
      <c r="I77" s="67">
        <f>SUM(I78:I82)</f>
        <v>0</v>
      </c>
      <c r="J77" s="67">
        <f>SUM(J78:J82)</f>
        <v>0</v>
      </c>
      <c r="K77" s="71" t="s">
        <v>129</v>
      </c>
      <c r="L77" s="67">
        <f>SUM(L78:L82)</f>
        <v>2.1812500000000004</v>
      </c>
      <c r="M77" s="106" t="s">
        <v>129</v>
      </c>
      <c r="AG77" s="71" t="s">
        <v>129</v>
      </c>
      <c r="AQ77" s="67">
        <f>SUM(AH78:AH82)</f>
        <v>0</v>
      </c>
      <c r="AR77" s="67">
        <f>SUM(AI78:AI82)</f>
        <v>0</v>
      </c>
      <c r="AS77" s="67">
        <f>SUM(AJ78:AJ82)</f>
        <v>0</v>
      </c>
    </row>
    <row r="78" spans="1:74" x14ac:dyDescent="0.25">
      <c r="A78" s="92" t="s">
        <v>274</v>
      </c>
      <c r="B78" s="69" t="s">
        <v>269</v>
      </c>
      <c r="C78" s="306" t="s">
        <v>270</v>
      </c>
      <c r="D78" s="307"/>
      <c r="E78" s="69" t="s">
        <v>166</v>
      </c>
      <c r="F78" s="77">
        <v>8.6199999999999992</v>
      </c>
      <c r="G78" s="218">
        <v>0</v>
      </c>
      <c r="H78" s="77">
        <f>F78*AM78</f>
        <v>0</v>
      </c>
      <c r="I78" s="77">
        <f>F78*AN78</f>
        <v>0</v>
      </c>
      <c r="J78" s="77">
        <f>F78*G78</f>
        <v>0</v>
      </c>
      <c r="K78" s="77">
        <v>0</v>
      </c>
      <c r="L78" s="77">
        <f>F78*K78</f>
        <v>0</v>
      </c>
      <c r="M78" s="103" t="s">
        <v>35</v>
      </c>
      <c r="X78" s="77">
        <f>IF(AO78="5",BH78,0)</f>
        <v>0</v>
      </c>
      <c r="Z78" s="77">
        <f>IF(AO78="1",BF78,0)</f>
        <v>0</v>
      </c>
      <c r="AA78" s="77">
        <f>IF(AO78="1",BG78,0)</f>
        <v>0</v>
      </c>
      <c r="AB78" s="77">
        <f>IF(AO78="7",BF78,0)</f>
        <v>0</v>
      </c>
      <c r="AC78" s="77">
        <f>IF(AO78="7",BG78,0)</f>
        <v>0</v>
      </c>
      <c r="AD78" s="77">
        <f>IF(AO78="2",BF78,0)</f>
        <v>0</v>
      </c>
      <c r="AE78" s="77">
        <f>IF(AO78="2",BG78,0)</f>
        <v>0</v>
      </c>
      <c r="AF78" s="77">
        <f>IF(AO78="0",BH78,0)</f>
        <v>0</v>
      </c>
      <c r="AG78" s="71" t="s">
        <v>129</v>
      </c>
      <c r="AH78" s="77">
        <f>IF(AL78=0,J78,0)</f>
        <v>0</v>
      </c>
      <c r="AI78" s="77">
        <f>IF(AL78=15,J78,0)</f>
        <v>0</v>
      </c>
      <c r="AJ78" s="77">
        <f>IF(AL78=21,J78,0)</f>
        <v>0</v>
      </c>
      <c r="AL78" s="77">
        <v>15</v>
      </c>
      <c r="AM78" s="77">
        <f>G78*0</f>
        <v>0</v>
      </c>
      <c r="AN78" s="77">
        <f>G78*(1-0)</f>
        <v>0</v>
      </c>
      <c r="AO78" s="79" t="s">
        <v>132</v>
      </c>
      <c r="AT78" s="77">
        <f>AU78+AV78</f>
        <v>0</v>
      </c>
      <c r="AU78" s="77">
        <f>F78*AM78</f>
        <v>0</v>
      </c>
      <c r="AV78" s="77">
        <f>F78*AN78</f>
        <v>0</v>
      </c>
      <c r="AW78" s="79" t="s">
        <v>271</v>
      </c>
      <c r="AX78" s="79" t="s">
        <v>272</v>
      </c>
      <c r="AY78" s="71" t="s">
        <v>137</v>
      </c>
      <c r="BA78" s="77">
        <f>AU78+AV78</f>
        <v>0</v>
      </c>
      <c r="BB78" s="77">
        <f>G78/(100-BC78)*100</f>
        <v>0</v>
      </c>
      <c r="BC78" s="77">
        <v>0</v>
      </c>
      <c r="BD78" s="77">
        <f>L78</f>
        <v>0</v>
      </c>
      <c r="BF78" s="77">
        <f>F78*AM78</f>
        <v>0</v>
      </c>
      <c r="BG78" s="77">
        <f>F78*AN78</f>
        <v>0</v>
      </c>
      <c r="BH78" s="77">
        <f>F78*G78</f>
        <v>0</v>
      </c>
      <c r="BI78" s="77"/>
      <c r="BJ78" s="77">
        <v>21</v>
      </c>
      <c r="BU78" s="77" t="e">
        <f>#REF!</f>
        <v>#REF!</v>
      </c>
      <c r="BV78" s="70" t="s">
        <v>270</v>
      </c>
    </row>
    <row r="79" spans="1:74" ht="40.5" customHeight="1" x14ac:dyDescent="0.25">
      <c r="A79" s="104"/>
      <c r="B79" s="81" t="s">
        <v>138</v>
      </c>
      <c r="C79" s="303" t="s">
        <v>848</v>
      </c>
      <c r="D79" s="304"/>
      <c r="E79" s="304"/>
      <c r="F79" s="304"/>
      <c r="G79" s="304"/>
      <c r="H79" s="304"/>
      <c r="I79" s="304"/>
      <c r="J79" s="304"/>
      <c r="K79" s="304"/>
      <c r="L79" s="304"/>
      <c r="M79" s="305"/>
    </row>
    <row r="80" spans="1:74" x14ac:dyDescent="0.25">
      <c r="A80" s="92" t="s">
        <v>278</v>
      </c>
      <c r="B80" s="69" t="s">
        <v>275</v>
      </c>
      <c r="C80" s="306" t="s">
        <v>276</v>
      </c>
      <c r="D80" s="307"/>
      <c r="E80" s="69" t="s">
        <v>145</v>
      </c>
      <c r="F80" s="77">
        <v>5</v>
      </c>
      <c r="G80" s="218">
        <v>0</v>
      </c>
      <c r="H80" s="77">
        <f>F80*AM80</f>
        <v>0</v>
      </c>
      <c r="I80" s="77">
        <f>F80*AN80</f>
        <v>0</v>
      </c>
      <c r="J80" s="77">
        <f>F80*G80</f>
        <v>0</v>
      </c>
      <c r="K80" s="77">
        <v>0.43625000000000003</v>
      </c>
      <c r="L80" s="77">
        <f>F80*K80</f>
        <v>2.1812500000000004</v>
      </c>
      <c r="M80" s="103" t="s">
        <v>35</v>
      </c>
      <c r="X80" s="77">
        <f>IF(AO80="5",BH80,0)</f>
        <v>0</v>
      </c>
      <c r="Z80" s="77">
        <f>IF(AO80="1",BF80,0)</f>
        <v>0</v>
      </c>
      <c r="AA80" s="77">
        <f>IF(AO80="1",BG80,0)</f>
        <v>0</v>
      </c>
      <c r="AB80" s="77">
        <f>IF(AO80="7",BF80,0)</f>
        <v>0</v>
      </c>
      <c r="AC80" s="77">
        <f>IF(AO80="7",BG80,0)</f>
        <v>0</v>
      </c>
      <c r="AD80" s="77">
        <f>IF(AO80="2",BF80,0)</f>
        <v>0</v>
      </c>
      <c r="AE80" s="77">
        <f>IF(AO80="2",BG80,0)</f>
        <v>0</v>
      </c>
      <c r="AF80" s="77">
        <f>IF(AO80="0",BH80,0)</f>
        <v>0</v>
      </c>
      <c r="AG80" s="71" t="s">
        <v>129</v>
      </c>
      <c r="AH80" s="77">
        <f>IF(AL80=0,J80,0)</f>
        <v>0</v>
      </c>
      <c r="AI80" s="77">
        <f>IF(AL80=15,J80,0)</f>
        <v>0</v>
      </c>
      <c r="AJ80" s="77">
        <f>IF(AL80=21,J80,0)</f>
        <v>0</v>
      </c>
      <c r="AL80" s="77">
        <v>15</v>
      </c>
      <c r="AM80" s="77">
        <f>G80*0.436412945</f>
        <v>0</v>
      </c>
      <c r="AN80" s="77">
        <f>G80*(1-0.436412945)</f>
        <v>0</v>
      </c>
      <c r="AO80" s="79" t="s">
        <v>132</v>
      </c>
      <c r="AT80" s="77">
        <f>AU80+AV80</f>
        <v>0</v>
      </c>
      <c r="AU80" s="77">
        <f>F80*AM80</f>
        <v>0</v>
      </c>
      <c r="AV80" s="77">
        <f>F80*AN80</f>
        <v>0</v>
      </c>
      <c r="AW80" s="79" t="s">
        <v>271</v>
      </c>
      <c r="AX80" s="79" t="s">
        <v>272</v>
      </c>
      <c r="AY80" s="71" t="s">
        <v>137</v>
      </c>
      <c r="BA80" s="77">
        <f>AU80+AV80</f>
        <v>0</v>
      </c>
      <c r="BB80" s="77">
        <f>G80/(100-BC80)*100</f>
        <v>0</v>
      </c>
      <c r="BC80" s="77">
        <v>0</v>
      </c>
      <c r="BD80" s="77">
        <f>L80</f>
        <v>2.1812500000000004</v>
      </c>
      <c r="BF80" s="77">
        <f>F80*AM80</f>
        <v>0</v>
      </c>
      <c r="BG80" s="77">
        <f>F80*AN80</f>
        <v>0</v>
      </c>
      <c r="BH80" s="77">
        <f>F80*G80</f>
        <v>0</v>
      </c>
      <c r="BI80" s="77"/>
      <c r="BJ80" s="77">
        <v>21</v>
      </c>
      <c r="BU80" s="77" t="e">
        <f>#REF!</f>
        <v>#REF!</v>
      </c>
      <c r="BV80" s="70" t="s">
        <v>276</v>
      </c>
    </row>
    <row r="81" spans="1:74" ht="27" customHeight="1" x14ac:dyDescent="0.25">
      <c r="A81" s="104"/>
      <c r="B81" s="81" t="s">
        <v>138</v>
      </c>
      <c r="C81" s="303" t="s">
        <v>277</v>
      </c>
      <c r="D81" s="304"/>
      <c r="E81" s="304"/>
      <c r="F81" s="304"/>
      <c r="G81" s="304"/>
      <c r="H81" s="304"/>
      <c r="I81" s="304"/>
      <c r="J81" s="304"/>
      <c r="K81" s="304"/>
      <c r="L81" s="304"/>
      <c r="M81" s="305"/>
    </row>
    <row r="82" spans="1:74" ht="15.75" thickBot="1" x14ac:dyDescent="0.3">
      <c r="A82" s="93" t="s">
        <v>283</v>
      </c>
      <c r="B82" s="94" t="s">
        <v>279</v>
      </c>
      <c r="C82" s="316" t="s">
        <v>280</v>
      </c>
      <c r="D82" s="317"/>
      <c r="E82" s="94" t="s">
        <v>281</v>
      </c>
      <c r="F82" s="125">
        <v>2.1800000000000002</v>
      </c>
      <c r="G82" s="220">
        <v>0</v>
      </c>
      <c r="H82" s="125">
        <f>F82*AM82</f>
        <v>0</v>
      </c>
      <c r="I82" s="125">
        <f>F82*AN82</f>
        <v>0</v>
      </c>
      <c r="J82" s="125">
        <f>F82*G82</f>
        <v>0</v>
      </c>
      <c r="K82" s="125">
        <v>0</v>
      </c>
      <c r="L82" s="125">
        <f>F82*K82</f>
        <v>0</v>
      </c>
      <c r="M82" s="126" t="s">
        <v>35</v>
      </c>
      <c r="X82" s="77">
        <f>IF(AO82="5",BH82,0)</f>
        <v>0</v>
      </c>
      <c r="Z82" s="77">
        <f>IF(AO82="1",BF82,0)</f>
        <v>0</v>
      </c>
      <c r="AA82" s="77">
        <f>IF(AO82="1",BG82,0)</f>
        <v>0</v>
      </c>
      <c r="AB82" s="77">
        <f>IF(AO82="7",BF82,0)</f>
        <v>0</v>
      </c>
      <c r="AC82" s="77">
        <f>IF(AO82="7",BG82,0)</f>
        <v>0</v>
      </c>
      <c r="AD82" s="77">
        <f>IF(AO82="2",BF82,0)</f>
        <v>0</v>
      </c>
      <c r="AE82" s="77">
        <f>IF(AO82="2",BG82,0)</f>
        <v>0</v>
      </c>
      <c r="AF82" s="77">
        <f>IF(AO82="0",BH82,0)</f>
        <v>0</v>
      </c>
      <c r="AG82" s="71" t="s">
        <v>129</v>
      </c>
      <c r="AH82" s="77">
        <f>IF(AL82=0,J82,0)</f>
        <v>0</v>
      </c>
      <c r="AI82" s="77">
        <f>IF(AL82=15,J82,0)</f>
        <v>0</v>
      </c>
      <c r="AJ82" s="77">
        <f>IF(AL82=21,J82,0)</f>
        <v>0</v>
      </c>
      <c r="AL82" s="77">
        <v>15</v>
      </c>
      <c r="AM82" s="77">
        <f>G82*0</f>
        <v>0</v>
      </c>
      <c r="AN82" s="77">
        <f>G82*(1-0)</f>
        <v>0</v>
      </c>
      <c r="AO82" s="79" t="s">
        <v>158</v>
      </c>
      <c r="AT82" s="77">
        <f>AU82+AV82</f>
        <v>0</v>
      </c>
      <c r="AU82" s="77">
        <f>F82*AM82</f>
        <v>0</v>
      </c>
      <c r="AV82" s="77">
        <f>F82*AN82</f>
        <v>0</v>
      </c>
      <c r="AW82" s="79" t="s">
        <v>271</v>
      </c>
      <c r="AX82" s="79" t="s">
        <v>272</v>
      </c>
      <c r="AY82" s="71" t="s">
        <v>137</v>
      </c>
      <c r="BA82" s="77">
        <f>AU82+AV82</f>
        <v>0</v>
      </c>
      <c r="BB82" s="77">
        <f>G82/(100-BC82)*100</f>
        <v>0</v>
      </c>
      <c r="BC82" s="77">
        <v>0</v>
      </c>
      <c r="BD82" s="77">
        <f>L82</f>
        <v>0</v>
      </c>
      <c r="BF82" s="77">
        <f>F82*AM82</f>
        <v>0</v>
      </c>
      <c r="BG82" s="77">
        <f>F82*AN82</f>
        <v>0</v>
      </c>
      <c r="BH82" s="77">
        <f>F82*G82</f>
        <v>0</v>
      </c>
      <c r="BI82" s="77"/>
      <c r="BJ82" s="77">
        <v>21</v>
      </c>
      <c r="BU82" s="77" t="e">
        <f>#REF!</f>
        <v>#REF!</v>
      </c>
      <c r="BV82" s="70" t="s">
        <v>280</v>
      </c>
    </row>
    <row r="83" spans="1:74" x14ac:dyDescent="0.25">
      <c r="A83" s="97" t="s">
        <v>129</v>
      </c>
      <c r="B83" s="98" t="s">
        <v>258</v>
      </c>
      <c r="C83" s="318" t="s">
        <v>282</v>
      </c>
      <c r="D83" s="319"/>
      <c r="E83" s="99" t="s">
        <v>87</v>
      </c>
      <c r="F83" s="99" t="s">
        <v>87</v>
      </c>
      <c r="G83" s="99" t="s">
        <v>87</v>
      </c>
      <c r="H83" s="100">
        <f>SUM(H84:H84)</f>
        <v>0</v>
      </c>
      <c r="I83" s="100">
        <f>SUM(I84:I84)</f>
        <v>0</v>
      </c>
      <c r="J83" s="100">
        <f>SUM(J84:J84)</f>
        <v>0</v>
      </c>
      <c r="K83" s="101" t="s">
        <v>129</v>
      </c>
      <c r="L83" s="100">
        <f>SUM(L84:L84)</f>
        <v>0.7322905999999999</v>
      </c>
      <c r="M83" s="102" t="s">
        <v>129</v>
      </c>
      <c r="AG83" s="71" t="s">
        <v>129</v>
      </c>
      <c r="AQ83" s="67">
        <f>SUM(AH84:AH84)</f>
        <v>0</v>
      </c>
      <c r="AR83" s="67">
        <f>SUM(AI84:AI84)</f>
        <v>0</v>
      </c>
      <c r="AS83" s="67">
        <f>SUM(AJ84:AJ84)</f>
        <v>0</v>
      </c>
    </row>
    <row r="84" spans="1:74" x14ac:dyDescent="0.25">
      <c r="A84" s="92" t="s">
        <v>290</v>
      </c>
      <c r="B84" s="69" t="s">
        <v>284</v>
      </c>
      <c r="C84" s="306" t="s">
        <v>285</v>
      </c>
      <c r="D84" s="307"/>
      <c r="E84" s="69" t="s">
        <v>177</v>
      </c>
      <c r="F84" s="77">
        <v>0.28999999999999998</v>
      </c>
      <c r="G84" s="218">
        <v>0</v>
      </c>
      <c r="H84" s="77">
        <f>F84*AM84</f>
        <v>0</v>
      </c>
      <c r="I84" s="77">
        <f>F84*AN84</f>
        <v>0</v>
      </c>
      <c r="J84" s="77">
        <f>F84*G84</f>
        <v>0</v>
      </c>
      <c r="K84" s="77">
        <v>2.5251399999999999</v>
      </c>
      <c r="L84" s="77">
        <f>F84*K84</f>
        <v>0.7322905999999999</v>
      </c>
      <c r="M84" s="103" t="s">
        <v>35</v>
      </c>
      <c r="X84" s="77">
        <f>IF(AO84="5",BH84,0)</f>
        <v>0</v>
      </c>
      <c r="Z84" s="77">
        <f>IF(AO84="1",BF84,0)</f>
        <v>0</v>
      </c>
      <c r="AA84" s="77">
        <f>IF(AO84="1",BG84,0)</f>
        <v>0</v>
      </c>
      <c r="AB84" s="77">
        <f>IF(AO84="7",BF84,0)</f>
        <v>0</v>
      </c>
      <c r="AC84" s="77">
        <f>IF(AO84="7",BG84,0)</f>
        <v>0</v>
      </c>
      <c r="AD84" s="77">
        <f>IF(AO84="2",BF84,0)</f>
        <v>0</v>
      </c>
      <c r="AE84" s="77">
        <f>IF(AO84="2",BG84,0)</f>
        <v>0</v>
      </c>
      <c r="AF84" s="77">
        <f>IF(AO84="0",BH84,0)</f>
        <v>0</v>
      </c>
      <c r="AG84" s="71" t="s">
        <v>129</v>
      </c>
      <c r="AH84" s="77">
        <f>IF(AL84=0,J84,0)</f>
        <v>0</v>
      </c>
      <c r="AI84" s="77">
        <f>IF(AL84=15,J84,0)</f>
        <v>0</v>
      </c>
      <c r="AJ84" s="77">
        <f>IF(AL84=21,J84,0)</f>
        <v>0</v>
      </c>
      <c r="AL84" s="77">
        <v>15</v>
      </c>
      <c r="AM84" s="77">
        <f>G84*0.848082628</f>
        <v>0</v>
      </c>
      <c r="AN84" s="77">
        <f>G84*(1-0.848082628)</f>
        <v>0</v>
      </c>
      <c r="AO84" s="79" t="s">
        <v>132</v>
      </c>
      <c r="AT84" s="77">
        <f>AU84+AV84</f>
        <v>0</v>
      </c>
      <c r="AU84" s="77">
        <f>F84*AM84</f>
        <v>0</v>
      </c>
      <c r="AV84" s="77">
        <f>F84*AN84</f>
        <v>0</v>
      </c>
      <c r="AW84" s="79" t="s">
        <v>286</v>
      </c>
      <c r="AX84" s="79" t="s">
        <v>272</v>
      </c>
      <c r="AY84" s="71" t="s">
        <v>137</v>
      </c>
      <c r="BA84" s="77">
        <f>AU84+AV84</f>
        <v>0</v>
      </c>
      <c r="BB84" s="77">
        <f>G84/(100-BC84)*100</f>
        <v>0</v>
      </c>
      <c r="BC84" s="77">
        <v>0</v>
      </c>
      <c r="BD84" s="77">
        <f>L84</f>
        <v>0.7322905999999999</v>
      </c>
      <c r="BF84" s="77">
        <f>F84*AM84</f>
        <v>0</v>
      </c>
      <c r="BG84" s="77">
        <f>F84*AN84</f>
        <v>0</v>
      </c>
      <c r="BH84" s="77">
        <f>F84*G84</f>
        <v>0</v>
      </c>
      <c r="BI84" s="77"/>
      <c r="BJ84" s="77">
        <v>27</v>
      </c>
      <c r="BU84" s="77" t="e">
        <f>#REF!</f>
        <v>#REF!</v>
      </c>
      <c r="BV84" s="70" t="s">
        <v>285</v>
      </c>
    </row>
    <row r="85" spans="1:74" ht="40.5" customHeight="1" x14ac:dyDescent="0.25">
      <c r="A85" s="104"/>
      <c r="B85" s="81" t="s">
        <v>138</v>
      </c>
      <c r="C85" s="303" t="s">
        <v>849</v>
      </c>
      <c r="D85" s="304"/>
      <c r="E85" s="304"/>
      <c r="F85" s="304"/>
      <c r="G85" s="304"/>
      <c r="H85" s="304"/>
      <c r="I85" s="304"/>
      <c r="J85" s="304"/>
      <c r="K85" s="304"/>
      <c r="L85" s="304"/>
      <c r="M85" s="305"/>
    </row>
    <row r="86" spans="1:74" x14ac:dyDescent="0.25">
      <c r="A86" s="105" t="s">
        <v>129</v>
      </c>
      <c r="B86" s="74" t="s">
        <v>288</v>
      </c>
      <c r="C86" s="314" t="s">
        <v>289</v>
      </c>
      <c r="D86" s="315"/>
      <c r="E86" s="75" t="s">
        <v>87</v>
      </c>
      <c r="F86" s="75" t="s">
        <v>87</v>
      </c>
      <c r="G86" s="75" t="s">
        <v>87</v>
      </c>
      <c r="H86" s="67">
        <f>SUM(H87:H87)</f>
        <v>0</v>
      </c>
      <c r="I86" s="67">
        <f>SUM(I87:I87)</f>
        <v>0</v>
      </c>
      <c r="J86" s="67">
        <f>SUM(J87:J87)</f>
        <v>0</v>
      </c>
      <c r="K86" s="71" t="s">
        <v>129</v>
      </c>
      <c r="L86" s="67">
        <f>SUM(L87:L87)</f>
        <v>2.5525395000000004</v>
      </c>
      <c r="M86" s="106" t="s">
        <v>129</v>
      </c>
      <c r="AG86" s="71" t="s">
        <v>129</v>
      </c>
      <c r="AQ86" s="67">
        <f>SUM(AH87:AH87)</f>
        <v>0</v>
      </c>
      <c r="AR86" s="67">
        <f>SUM(AI87:AI87)</f>
        <v>0</v>
      </c>
      <c r="AS86" s="67">
        <f>SUM(AJ87:AJ87)</f>
        <v>0</v>
      </c>
    </row>
    <row r="87" spans="1:74" x14ac:dyDescent="0.25">
      <c r="A87" s="92" t="s">
        <v>298</v>
      </c>
      <c r="B87" s="69" t="s">
        <v>291</v>
      </c>
      <c r="C87" s="306" t="s">
        <v>292</v>
      </c>
      <c r="D87" s="307"/>
      <c r="E87" s="69" t="s">
        <v>177</v>
      </c>
      <c r="F87" s="77">
        <v>1.35</v>
      </c>
      <c r="G87" s="218">
        <v>0</v>
      </c>
      <c r="H87" s="77">
        <f>F87*AM87</f>
        <v>0</v>
      </c>
      <c r="I87" s="77">
        <f>F87*AN87</f>
        <v>0</v>
      </c>
      <c r="J87" s="77">
        <f>F87*G87</f>
        <v>0</v>
      </c>
      <c r="K87" s="77">
        <v>1.8907700000000001</v>
      </c>
      <c r="L87" s="77">
        <f>F87*K87</f>
        <v>2.5525395000000004</v>
      </c>
      <c r="M87" s="103" t="s">
        <v>35</v>
      </c>
      <c r="X87" s="77">
        <f>IF(AO87="5",BH87,0)</f>
        <v>0</v>
      </c>
      <c r="Z87" s="77">
        <f>IF(AO87="1",BF87,0)</f>
        <v>0</v>
      </c>
      <c r="AA87" s="77">
        <f>IF(AO87="1",BG87,0)</f>
        <v>0</v>
      </c>
      <c r="AB87" s="77">
        <f>IF(AO87="7",BF87,0)</f>
        <v>0</v>
      </c>
      <c r="AC87" s="77">
        <f>IF(AO87="7",BG87,0)</f>
        <v>0</v>
      </c>
      <c r="AD87" s="77">
        <f>IF(AO87="2",BF87,0)</f>
        <v>0</v>
      </c>
      <c r="AE87" s="77">
        <f>IF(AO87="2",BG87,0)</f>
        <v>0</v>
      </c>
      <c r="AF87" s="77">
        <f>IF(AO87="0",BH87,0)</f>
        <v>0</v>
      </c>
      <c r="AG87" s="71" t="s">
        <v>129</v>
      </c>
      <c r="AH87" s="77">
        <f>IF(AL87=0,J87,0)</f>
        <v>0</v>
      </c>
      <c r="AI87" s="77">
        <f>IF(AL87=15,J87,0)</f>
        <v>0</v>
      </c>
      <c r="AJ87" s="77">
        <f>IF(AL87=21,J87,0)</f>
        <v>0</v>
      </c>
      <c r="AL87" s="77">
        <v>15</v>
      </c>
      <c r="AM87" s="77">
        <f>G87*0.487572482</f>
        <v>0</v>
      </c>
      <c r="AN87" s="77">
        <f>G87*(1-0.487572482)</f>
        <v>0</v>
      </c>
      <c r="AO87" s="79" t="s">
        <v>132</v>
      </c>
      <c r="AT87" s="77">
        <f>AU87+AV87</f>
        <v>0</v>
      </c>
      <c r="AU87" s="77">
        <f>F87*AM87</f>
        <v>0</v>
      </c>
      <c r="AV87" s="77">
        <f>F87*AN87</f>
        <v>0</v>
      </c>
      <c r="AW87" s="79" t="s">
        <v>293</v>
      </c>
      <c r="AX87" s="79" t="s">
        <v>294</v>
      </c>
      <c r="AY87" s="71" t="s">
        <v>137</v>
      </c>
      <c r="BA87" s="77">
        <f>AU87+AV87</f>
        <v>0</v>
      </c>
      <c r="BB87" s="77">
        <f>G87/(100-BC87)*100</f>
        <v>0</v>
      </c>
      <c r="BC87" s="77">
        <v>0</v>
      </c>
      <c r="BD87" s="77">
        <f>L87</f>
        <v>2.5525395000000004</v>
      </c>
      <c r="BF87" s="77">
        <f>F87*AM87</f>
        <v>0</v>
      </c>
      <c r="BG87" s="77">
        <f>F87*AN87</f>
        <v>0</v>
      </c>
      <c r="BH87" s="77">
        <f>F87*G87</f>
        <v>0</v>
      </c>
      <c r="BI87" s="77"/>
      <c r="BJ87" s="77">
        <v>45</v>
      </c>
      <c r="BU87" s="77" t="e">
        <f>#REF!</f>
        <v>#REF!</v>
      </c>
      <c r="BV87" s="70" t="s">
        <v>292</v>
      </c>
    </row>
    <row r="88" spans="1:74" ht="40.5" customHeight="1" x14ac:dyDescent="0.25">
      <c r="A88" s="104"/>
      <c r="B88" s="81" t="s">
        <v>138</v>
      </c>
      <c r="C88" s="303" t="s">
        <v>850</v>
      </c>
      <c r="D88" s="304"/>
      <c r="E88" s="304"/>
      <c r="F88" s="304"/>
      <c r="G88" s="304"/>
      <c r="H88" s="304"/>
      <c r="I88" s="304"/>
      <c r="J88" s="304"/>
      <c r="K88" s="304"/>
      <c r="L88" s="304"/>
      <c r="M88" s="305"/>
    </row>
    <row r="89" spans="1:74" x14ac:dyDescent="0.25">
      <c r="A89" s="105" t="s">
        <v>129</v>
      </c>
      <c r="B89" s="74" t="s">
        <v>296</v>
      </c>
      <c r="C89" s="314" t="s">
        <v>297</v>
      </c>
      <c r="D89" s="315"/>
      <c r="E89" s="75" t="s">
        <v>87</v>
      </c>
      <c r="F89" s="75" t="s">
        <v>87</v>
      </c>
      <c r="G89" s="75" t="s">
        <v>87</v>
      </c>
      <c r="H89" s="67">
        <f>SUM(H90:H104)</f>
        <v>0</v>
      </c>
      <c r="I89" s="67">
        <f>SUM(I90:I104)</f>
        <v>0</v>
      </c>
      <c r="J89" s="67">
        <f>SUM(J90:J104)</f>
        <v>0</v>
      </c>
      <c r="K89" s="71" t="s">
        <v>129</v>
      </c>
      <c r="L89" s="67">
        <f>SUM(L90:L104)</f>
        <v>23.094779199999998</v>
      </c>
      <c r="M89" s="106" t="s">
        <v>129</v>
      </c>
      <c r="AG89" s="71" t="s">
        <v>129</v>
      </c>
      <c r="AQ89" s="67">
        <f>SUM(AH90:AH104)</f>
        <v>0</v>
      </c>
      <c r="AR89" s="67">
        <f>SUM(AI90:AI104)</f>
        <v>0</v>
      </c>
      <c r="AS89" s="67">
        <f>SUM(AJ90:AJ104)</f>
        <v>0</v>
      </c>
    </row>
    <row r="90" spans="1:74" x14ac:dyDescent="0.25">
      <c r="A90" s="92" t="s">
        <v>304</v>
      </c>
      <c r="B90" s="69" t="s">
        <v>299</v>
      </c>
      <c r="C90" s="306" t="s">
        <v>851</v>
      </c>
      <c r="D90" s="307"/>
      <c r="E90" s="69" t="s">
        <v>166</v>
      </c>
      <c r="F90" s="77">
        <v>9.77</v>
      </c>
      <c r="G90" s="218">
        <v>0</v>
      </c>
      <c r="H90" s="77">
        <f>F90*AM90</f>
        <v>0</v>
      </c>
      <c r="I90" s="77">
        <f>F90*AN90</f>
        <v>0</v>
      </c>
      <c r="J90" s="77">
        <f>F90*G90</f>
        <v>0</v>
      </c>
      <c r="K90" s="77">
        <v>0.46</v>
      </c>
      <c r="L90" s="77">
        <f>F90*K90</f>
        <v>4.4942000000000002</v>
      </c>
      <c r="M90" s="103" t="s">
        <v>35</v>
      </c>
      <c r="X90" s="77">
        <f>IF(AO90="5",BH90,0)</f>
        <v>0</v>
      </c>
      <c r="Z90" s="77">
        <f>IF(AO90="1",BF90,0)</f>
        <v>0</v>
      </c>
      <c r="AA90" s="77">
        <f>IF(AO90="1",BG90,0)</f>
        <v>0</v>
      </c>
      <c r="AB90" s="77">
        <f>IF(AO90="7",BF90,0)</f>
        <v>0</v>
      </c>
      <c r="AC90" s="77">
        <f>IF(AO90="7",BG90,0)</f>
        <v>0</v>
      </c>
      <c r="AD90" s="77">
        <f>IF(AO90="2",BF90,0)</f>
        <v>0</v>
      </c>
      <c r="AE90" s="77">
        <f>IF(AO90="2",BG90,0)</f>
        <v>0</v>
      </c>
      <c r="AF90" s="77">
        <f>IF(AO90="0",BH90,0)</f>
        <v>0</v>
      </c>
      <c r="AG90" s="71" t="s">
        <v>129</v>
      </c>
      <c r="AH90" s="77">
        <f>IF(AL90=0,J90,0)</f>
        <v>0</v>
      </c>
      <c r="AI90" s="77">
        <f>IF(AL90=15,J90,0)</f>
        <v>0</v>
      </c>
      <c r="AJ90" s="77">
        <f>IF(AL90=21,J90,0)</f>
        <v>0</v>
      </c>
      <c r="AL90" s="77">
        <v>15</v>
      </c>
      <c r="AM90" s="77">
        <f>G90*0.854854381</f>
        <v>0</v>
      </c>
      <c r="AN90" s="77">
        <f>G90*(1-0.854854381)</f>
        <v>0</v>
      </c>
      <c r="AO90" s="79" t="s">
        <v>132</v>
      </c>
      <c r="AT90" s="77">
        <f>AU90+AV90</f>
        <v>0</v>
      </c>
      <c r="AU90" s="77">
        <f>F90*AM90</f>
        <v>0</v>
      </c>
      <c r="AV90" s="77">
        <f>F90*AN90</f>
        <v>0</v>
      </c>
      <c r="AW90" s="79" t="s">
        <v>301</v>
      </c>
      <c r="AX90" s="79" t="s">
        <v>302</v>
      </c>
      <c r="AY90" s="71" t="s">
        <v>137</v>
      </c>
      <c r="BA90" s="77">
        <f>AU90+AV90</f>
        <v>0</v>
      </c>
      <c r="BB90" s="77">
        <f>G90/(100-BC90)*100</f>
        <v>0</v>
      </c>
      <c r="BC90" s="77">
        <v>0</v>
      </c>
      <c r="BD90" s="77">
        <f>L90</f>
        <v>4.4942000000000002</v>
      </c>
      <c r="BF90" s="77">
        <f>F90*AM90</f>
        <v>0</v>
      </c>
      <c r="BG90" s="77">
        <f>F90*AN90</f>
        <v>0</v>
      </c>
      <c r="BH90" s="77">
        <f>F90*G90</f>
        <v>0</v>
      </c>
      <c r="BI90" s="77"/>
      <c r="BJ90" s="77">
        <v>56</v>
      </c>
      <c r="BU90" s="77" t="e">
        <f>#REF!</f>
        <v>#REF!</v>
      </c>
      <c r="BV90" s="70" t="s">
        <v>851</v>
      </c>
    </row>
    <row r="91" spans="1:74" ht="40.5" customHeight="1" x14ac:dyDescent="0.25">
      <c r="A91" s="104"/>
      <c r="B91" s="81" t="s">
        <v>138</v>
      </c>
      <c r="C91" s="303" t="s">
        <v>852</v>
      </c>
      <c r="D91" s="304"/>
      <c r="E91" s="304"/>
      <c r="F91" s="304"/>
      <c r="G91" s="304"/>
      <c r="H91" s="304"/>
      <c r="I91" s="304"/>
      <c r="J91" s="304"/>
      <c r="K91" s="304"/>
      <c r="L91" s="304"/>
      <c r="M91" s="305"/>
    </row>
    <row r="92" spans="1:74" x14ac:dyDescent="0.25">
      <c r="A92" s="92" t="s">
        <v>308</v>
      </c>
      <c r="B92" s="69" t="s">
        <v>305</v>
      </c>
      <c r="C92" s="306" t="s">
        <v>771</v>
      </c>
      <c r="D92" s="307"/>
      <c r="E92" s="69" t="s">
        <v>166</v>
      </c>
      <c r="F92" s="77">
        <v>10.14</v>
      </c>
      <c r="G92" s="218">
        <v>0</v>
      </c>
      <c r="H92" s="77">
        <f>F92*AM92</f>
        <v>0</v>
      </c>
      <c r="I92" s="77">
        <f>F92*AN92</f>
        <v>0</v>
      </c>
      <c r="J92" s="77">
        <f>F92*G92</f>
        <v>0</v>
      </c>
      <c r="K92" s="77">
        <v>0.48574000000000001</v>
      </c>
      <c r="L92" s="77">
        <f>F92*K92</f>
        <v>4.9254036000000001</v>
      </c>
      <c r="M92" s="103" t="s">
        <v>35</v>
      </c>
      <c r="X92" s="77">
        <f>IF(AO92="5",BH92,0)</f>
        <v>0</v>
      </c>
      <c r="Z92" s="77">
        <f>IF(AO92="1",BF92,0)</f>
        <v>0</v>
      </c>
      <c r="AA92" s="77">
        <f>IF(AO92="1",BG92,0)</f>
        <v>0</v>
      </c>
      <c r="AB92" s="77">
        <f>IF(AO92="7",BF92,0)</f>
        <v>0</v>
      </c>
      <c r="AC92" s="77">
        <f>IF(AO92="7",BG92,0)</f>
        <v>0</v>
      </c>
      <c r="AD92" s="77">
        <f>IF(AO92="2",BF92,0)</f>
        <v>0</v>
      </c>
      <c r="AE92" s="77">
        <f>IF(AO92="2",BG92,0)</f>
        <v>0</v>
      </c>
      <c r="AF92" s="77">
        <f>IF(AO92="0",BH92,0)</f>
        <v>0</v>
      </c>
      <c r="AG92" s="71" t="s">
        <v>129</v>
      </c>
      <c r="AH92" s="77">
        <f>IF(AL92=0,J92,0)</f>
        <v>0</v>
      </c>
      <c r="AI92" s="77">
        <f>IF(AL92=15,J92,0)</f>
        <v>0</v>
      </c>
      <c r="AJ92" s="77">
        <f>IF(AL92=21,J92,0)</f>
        <v>0</v>
      </c>
      <c r="AL92" s="77">
        <v>15</v>
      </c>
      <c r="AM92" s="77">
        <f>G92*0.813416194</f>
        <v>0</v>
      </c>
      <c r="AN92" s="77">
        <f>G92*(1-0.813416194)</f>
        <v>0</v>
      </c>
      <c r="AO92" s="79" t="s">
        <v>132</v>
      </c>
      <c r="AT92" s="77">
        <f>AU92+AV92</f>
        <v>0</v>
      </c>
      <c r="AU92" s="77">
        <f>F92*AM92</f>
        <v>0</v>
      </c>
      <c r="AV92" s="77">
        <f>F92*AN92</f>
        <v>0</v>
      </c>
      <c r="AW92" s="79" t="s">
        <v>301</v>
      </c>
      <c r="AX92" s="79" t="s">
        <v>302</v>
      </c>
      <c r="AY92" s="71" t="s">
        <v>137</v>
      </c>
      <c r="BA92" s="77">
        <f>AU92+AV92</f>
        <v>0</v>
      </c>
      <c r="BB92" s="77">
        <f>G92/(100-BC92)*100</f>
        <v>0</v>
      </c>
      <c r="BC92" s="77">
        <v>0</v>
      </c>
      <c r="BD92" s="77">
        <f>L92</f>
        <v>4.9254036000000001</v>
      </c>
      <c r="BF92" s="77">
        <f>F92*AM92</f>
        <v>0</v>
      </c>
      <c r="BG92" s="77">
        <f>F92*AN92</f>
        <v>0</v>
      </c>
      <c r="BH92" s="77">
        <f>F92*G92</f>
        <v>0</v>
      </c>
      <c r="BI92" s="77"/>
      <c r="BJ92" s="77">
        <v>56</v>
      </c>
      <c r="BU92" s="77" t="e">
        <f>#REF!</f>
        <v>#REF!</v>
      </c>
      <c r="BV92" s="70" t="s">
        <v>771</v>
      </c>
    </row>
    <row r="93" spans="1:74" ht="40.5" customHeight="1" x14ac:dyDescent="0.25">
      <c r="A93" s="104"/>
      <c r="B93" s="81" t="s">
        <v>138</v>
      </c>
      <c r="C93" s="303" t="s">
        <v>853</v>
      </c>
      <c r="D93" s="304"/>
      <c r="E93" s="304"/>
      <c r="F93" s="304"/>
      <c r="G93" s="304"/>
      <c r="H93" s="304"/>
      <c r="I93" s="304"/>
      <c r="J93" s="304"/>
      <c r="K93" s="304"/>
      <c r="L93" s="304"/>
      <c r="M93" s="305"/>
    </row>
    <row r="94" spans="1:74" x14ac:dyDescent="0.25">
      <c r="A94" s="92" t="s">
        <v>310</v>
      </c>
      <c r="B94" s="69" t="s">
        <v>305</v>
      </c>
      <c r="C94" s="306" t="s">
        <v>771</v>
      </c>
      <c r="D94" s="307"/>
      <c r="E94" s="69" t="s">
        <v>166</v>
      </c>
      <c r="F94" s="77">
        <v>10.46</v>
      </c>
      <c r="G94" s="218">
        <v>0</v>
      </c>
      <c r="H94" s="77">
        <f>F94*AM94</f>
        <v>0</v>
      </c>
      <c r="I94" s="77">
        <f>F94*AN94</f>
        <v>0</v>
      </c>
      <c r="J94" s="77">
        <f>F94*G94</f>
        <v>0</v>
      </c>
      <c r="K94" s="77">
        <v>0.48574000000000001</v>
      </c>
      <c r="L94" s="77">
        <f>F94*K94</f>
        <v>5.0808404000000005</v>
      </c>
      <c r="M94" s="103" t="s">
        <v>35</v>
      </c>
      <c r="X94" s="77">
        <f>IF(AO94="5",BH94,0)</f>
        <v>0</v>
      </c>
      <c r="Z94" s="77">
        <f>IF(AO94="1",BF94,0)</f>
        <v>0</v>
      </c>
      <c r="AA94" s="77">
        <f>IF(AO94="1",BG94,0)</f>
        <v>0</v>
      </c>
      <c r="AB94" s="77">
        <f>IF(AO94="7",BF94,0)</f>
        <v>0</v>
      </c>
      <c r="AC94" s="77">
        <f>IF(AO94="7",BG94,0)</f>
        <v>0</v>
      </c>
      <c r="AD94" s="77">
        <f>IF(AO94="2",BF94,0)</f>
        <v>0</v>
      </c>
      <c r="AE94" s="77">
        <f>IF(AO94="2",BG94,0)</f>
        <v>0</v>
      </c>
      <c r="AF94" s="77">
        <f>IF(AO94="0",BH94,0)</f>
        <v>0</v>
      </c>
      <c r="AG94" s="71" t="s">
        <v>129</v>
      </c>
      <c r="AH94" s="77">
        <f>IF(AL94=0,J94,0)</f>
        <v>0</v>
      </c>
      <c r="AI94" s="77">
        <f>IF(AL94=15,J94,0)</f>
        <v>0</v>
      </c>
      <c r="AJ94" s="77">
        <f>IF(AL94=21,J94,0)</f>
        <v>0</v>
      </c>
      <c r="AL94" s="77">
        <v>15</v>
      </c>
      <c r="AM94" s="77">
        <f>G94*0.813420256</f>
        <v>0</v>
      </c>
      <c r="AN94" s="77">
        <f>G94*(1-0.813420256)</f>
        <v>0</v>
      </c>
      <c r="AO94" s="79" t="s">
        <v>132</v>
      </c>
      <c r="AT94" s="77">
        <f>AU94+AV94</f>
        <v>0</v>
      </c>
      <c r="AU94" s="77">
        <f>F94*AM94</f>
        <v>0</v>
      </c>
      <c r="AV94" s="77">
        <f>F94*AN94</f>
        <v>0</v>
      </c>
      <c r="AW94" s="79" t="s">
        <v>301</v>
      </c>
      <c r="AX94" s="79" t="s">
        <v>302</v>
      </c>
      <c r="AY94" s="71" t="s">
        <v>137</v>
      </c>
      <c r="BA94" s="77">
        <f>AU94+AV94</f>
        <v>0</v>
      </c>
      <c r="BB94" s="77">
        <f>G94/(100-BC94)*100</f>
        <v>0</v>
      </c>
      <c r="BC94" s="77">
        <v>0</v>
      </c>
      <c r="BD94" s="77">
        <f>L94</f>
        <v>5.0808404000000005</v>
      </c>
      <c r="BF94" s="77">
        <f>F94*AM94</f>
        <v>0</v>
      </c>
      <c r="BG94" s="77">
        <f>F94*AN94</f>
        <v>0</v>
      </c>
      <c r="BH94" s="77">
        <f>F94*G94</f>
        <v>0</v>
      </c>
      <c r="BI94" s="77"/>
      <c r="BJ94" s="77">
        <v>56</v>
      </c>
      <c r="BU94" s="77" t="e">
        <f>#REF!</f>
        <v>#REF!</v>
      </c>
      <c r="BV94" s="70" t="s">
        <v>771</v>
      </c>
    </row>
    <row r="95" spans="1:74" ht="40.5" customHeight="1" x14ac:dyDescent="0.25">
      <c r="A95" s="104"/>
      <c r="B95" s="81" t="s">
        <v>138</v>
      </c>
      <c r="C95" s="303" t="s">
        <v>854</v>
      </c>
      <c r="D95" s="304"/>
      <c r="E95" s="304"/>
      <c r="F95" s="304"/>
      <c r="G95" s="304"/>
      <c r="H95" s="304"/>
      <c r="I95" s="304"/>
      <c r="J95" s="304"/>
      <c r="K95" s="304"/>
      <c r="L95" s="304"/>
      <c r="M95" s="305"/>
    </row>
    <row r="96" spans="1:74" x14ac:dyDescent="0.25">
      <c r="A96" s="92" t="s">
        <v>316</v>
      </c>
      <c r="B96" s="69" t="s">
        <v>528</v>
      </c>
      <c r="C96" s="306" t="s">
        <v>773</v>
      </c>
      <c r="D96" s="307"/>
      <c r="E96" s="69" t="s">
        <v>166</v>
      </c>
      <c r="F96" s="77">
        <v>10.38</v>
      </c>
      <c r="G96" s="218">
        <v>0</v>
      </c>
      <c r="H96" s="77">
        <f>F96*AM96</f>
        <v>0</v>
      </c>
      <c r="I96" s="77">
        <f>F96*AN96</f>
        <v>0</v>
      </c>
      <c r="J96" s="77">
        <f>F96*G96</f>
        <v>0</v>
      </c>
      <c r="K96" s="77">
        <v>0.52900000000000003</v>
      </c>
      <c r="L96" s="77">
        <f>F96*K96</f>
        <v>5.4910200000000007</v>
      </c>
      <c r="M96" s="103" t="s">
        <v>35</v>
      </c>
      <c r="X96" s="77">
        <f>IF(AO96="5",BH96,0)</f>
        <v>0</v>
      </c>
      <c r="Z96" s="77">
        <f>IF(AO96="1",BF96,0)</f>
        <v>0</v>
      </c>
      <c r="AA96" s="77">
        <f>IF(AO96="1",BG96,0)</f>
        <v>0</v>
      </c>
      <c r="AB96" s="77">
        <f>IF(AO96="7",BF96,0)</f>
        <v>0</v>
      </c>
      <c r="AC96" s="77">
        <f>IF(AO96="7",BG96,0)</f>
        <v>0</v>
      </c>
      <c r="AD96" s="77">
        <f>IF(AO96="2",BF96,0)</f>
        <v>0</v>
      </c>
      <c r="AE96" s="77">
        <f>IF(AO96="2",BG96,0)</f>
        <v>0</v>
      </c>
      <c r="AF96" s="77">
        <f>IF(AO96="0",BH96,0)</f>
        <v>0</v>
      </c>
      <c r="AG96" s="71" t="s">
        <v>129</v>
      </c>
      <c r="AH96" s="77">
        <f>IF(AL96=0,J96,0)</f>
        <v>0</v>
      </c>
      <c r="AI96" s="77">
        <f>IF(AL96=15,J96,0)</f>
        <v>0</v>
      </c>
      <c r="AJ96" s="77">
        <f>IF(AL96=21,J96,0)</f>
        <v>0</v>
      </c>
      <c r="AL96" s="77">
        <v>15</v>
      </c>
      <c r="AM96" s="77">
        <f>G96*0.853240607</f>
        <v>0</v>
      </c>
      <c r="AN96" s="77">
        <f>G96*(1-0.853240607)</f>
        <v>0</v>
      </c>
      <c r="AO96" s="79" t="s">
        <v>132</v>
      </c>
      <c r="AT96" s="77">
        <f>AU96+AV96</f>
        <v>0</v>
      </c>
      <c r="AU96" s="77">
        <f>F96*AM96</f>
        <v>0</v>
      </c>
      <c r="AV96" s="77">
        <f>F96*AN96</f>
        <v>0</v>
      </c>
      <c r="AW96" s="79" t="s">
        <v>301</v>
      </c>
      <c r="AX96" s="79" t="s">
        <v>302</v>
      </c>
      <c r="AY96" s="71" t="s">
        <v>137</v>
      </c>
      <c r="BA96" s="77">
        <f>AU96+AV96</f>
        <v>0</v>
      </c>
      <c r="BB96" s="77">
        <f>G96/(100-BC96)*100</f>
        <v>0</v>
      </c>
      <c r="BC96" s="77">
        <v>0</v>
      </c>
      <c r="BD96" s="77">
        <f>L96</f>
        <v>5.4910200000000007</v>
      </c>
      <c r="BF96" s="77">
        <f>F96*AM96</f>
        <v>0</v>
      </c>
      <c r="BG96" s="77">
        <f>F96*AN96</f>
        <v>0</v>
      </c>
      <c r="BH96" s="77">
        <f>F96*G96</f>
        <v>0</v>
      </c>
      <c r="BI96" s="77"/>
      <c r="BJ96" s="77">
        <v>56</v>
      </c>
      <c r="BU96" s="77" t="e">
        <f>#REF!</f>
        <v>#REF!</v>
      </c>
      <c r="BV96" s="70" t="s">
        <v>773</v>
      </c>
    </row>
    <row r="97" spans="1:74" ht="40.5" customHeight="1" x14ac:dyDescent="0.25">
      <c r="A97" s="104"/>
      <c r="B97" s="81" t="s">
        <v>138</v>
      </c>
      <c r="C97" s="303" t="s">
        <v>855</v>
      </c>
      <c r="D97" s="304"/>
      <c r="E97" s="304"/>
      <c r="F97" s="304"/>
      <c r="G97" s="304"/>
      <c r="H97" s="304"/>
      <c r="I97" s="304"/>
      <c r="J97" s="304"/>
      <c r="K97" s="304"/>
      <c r="L97" s="304"/>
      <c r="M97" s="305"/>
    </row>
    <row r="98" spans="1:74" x14ac:dyDescent="0.25">
      <c r="A98" s="92" t="s">
        <v>322</v>
      </c>
      <c r="B98" s="69" t="s">
        <v>299</v>
      </c>
      <c r="C98" s="306" t="s">
        <v>300</v>
      </c>
      <c r="D98" s="307"/>
      <c r="E98" s="69" t="s">
        <v>166</v>
      </c>
      <c r="F98" s="77">
        <v>1.65</v>
      </c>
      <c r="G98" s="218">
        <v>0</v>
      </c>
      <c r="H98" s="77">
        <f>F98*AM98</f>
        <v>0</v>
      </c>
      <c r="I98" s="77">
        <f>F98*AN98</f>
        <v>0</v>
      </c>
      <c r="J98" s="77">
        <f>F98*G98</f>
        <v>0</v>
      </c>
      <c r="K98" s="77">
        <v>0.46</v>
      </c>
      <c r="L98" s="77">
        <f>F98*K98</f>
        <v>0.75900000000000001</v>
      </c>
      <c r="M98" s="103" t="s">
        <v>35</v>
      </c>
      <c r="X98" s="77">
        <f>IF(AO98="5",BH98,0)</f>
        <v>0</v>
      </c>
      <c r="Z98" s="77">
        <f>IF(AO98="1",BF98,0)</f>
        <v>0</v>
      </c>
      <c r="AA98" s="77">
        <f>IF(AO98="1",BG98,0)</f>
        <v>0</v>
      </c>
      <c r="AB98" s="77">
        <f>IF(AO98="7",BF98,0)</f>
        <v>0</v>
      </c>
      <c r="AC98" s="77">
        <f>IF(AO98="7",BG98,0)</f>
        <v>0</v>
      </c>
      <c r="AD98" s="77">
        <f>IF(AO98="2",BF98,0)</f>
        <v>0</v>
      </c>
      <c r="AE98" s="77">
        <f>IF(AO98="2",BG98,0)</f>
        <v>0</v>
      </c>
      <c r="AF98" s="77">
        <f>IF(AO98="0",BH98,0)</f>
        <v>0</v>
      </c>
      <c r="AG98" s="71" t="s">
        <v>129</v>
      </c>
      <c r="AH98" s="77">
        <f>IF(AL98=0,J98,0)</f>
        <v>0</v>
      </c>
      <c r="AI98" s="77">
        <f>IF(AL98=15,J98,0)</f>
        <v>0</v>
      </c>
      <c r="AJ98" s="77">
        <f>IF(AL98=21,J98,0)</f>
        <v>0</v>
      </c>
      <c r="AL98" s="77">
        <v>15</v>
      </c>
      <c r="AM98" s="77">
        <f>G98*0.854898775</f>
        <v>0</v>
      </c>
      <c r="AN98" s="77">
        <f>G98*(1-0.854898775)</f>
        <v>0</v>
      </c>
      <c r="AO98" s="79" t="s">
        <v>132</v>
      </c>
      <c r="AT98" s="77">
        <f>AU98+AV98</f>
        <v>0</v>
      </c>
      <c r="AU98" s="77">
        <f>F98*AM98</f>
        <v>0</v>
      </c>
      <c r="AV98" s="77">
        <f>F98*AN98</f>
        <v>0</v>
      </c>
      <c r="AW98" s="79" t="s">
        <v>301</v>
      </c>
      <c r="AX98" s="79" t="s">
        <v>302</v>
      </c>
      <c r="AY98" s="71" t="s">
        <v>137</v>
      </c>
      <c r="BA98" s="77">
        <f>AU98+AV98</f>
        <v>0</v>
      </c>
      <c r="BB98" s="77">
        <f>G98/(100-BC98)*100</f>
        <v>0</v>
      </c>
      <c r="BC98" s="77">
        <v>0</v>
      </c>
      <c r="BD98" s="77">
        <f>L98</f>
        <v>0.75900000000000001</v>
      </c>
      <c r="BF98" s="77">
        <f>F98*AM98</f>
        <v>0</v>
      </c>
      <c r="BG98" s="77">
        <f>F98*AN98</f>
        <v>0</v>
      </c>
      <c r="BH98" s="77">
        <f>F98*G98</f>
        <v>0</v>
      </c>
      <c r="BI98" s="77"/>
      <c r="BJ98" s="77">
        <v>56</v>
      </c>
      <c r="BU98" s="77" t="e">
        <f>#REF!</f>
        <v>#REF!</v>
      </c>
      <c r="BV98" s="70" t="s">
        <v>300</v>
      </c>
    </row>
    <row r="99" spans="1:74" ht="40.5" customHeight="1" x14ac:dyDescent="0.25">
      <c r="A99" s="104"/>
      <c r="B99" s="81" t="s">
        <v>138</v>
      </c>
      <c r="C99" s="303" t="s">
        <v>856</v>
      </c>
      <c r="D99" s="304"/>
      <c r="E99" s="304"/>
      <c r="F99" s="304"/>
      <c r="G99" s="304"/>
      <c r="H99" s="304"/>
      <c r="I99" s="304"/>
      <c r="J99" s="304"/>
      <c r="K99" s="304"/>
      <c r="L99" s="304"/>
      <c r="M99" s="305"/>
    </row>
    <row r="100" spans="1:74" x14ac:dyDescent="0.25">
      <c r="A100" s="92" t="s">
        <v>327</v>
      </c>
      <c r="B100" s="69" t="s">
        <v>305</v>
      </c>
      <c r="C100" s="306" t="s">
        <v>306</v>
      </c>
      <c r="D100" s="307"/>
      <c r="E100" s="69" t="s">
        <v>166</v>
      </c>
      <c r="F100" s="77">
        <v>1.71</v>
      </c>
      <c r="G100" s="218">
        <v>0</v>
      </c>
      <c r="H100" s="77">
        <f>F100*AM100</f>
        <v>0</v>
      </c>
      <c r="I100" s="77">
        <f>F100*AN100</f>
        <v>0</v>
      </c>
      <c r="J100" s="77">
        <f>F100*G100</f>
        <v>0</v>
      </c>
      <c r="K100" s="77">
        <v>0.48574000000000001</v>
      </c>
      <c r="L100" s="77">
        <f>F100*K100</f>
        <v>0.8306154</v>
      </c>
      <c r="M100" s="103" t="s">
        <v>35</v>
      </c>
      <c r="X100" s="77">
        <f>IF(AO100="5",BH100,0)</f>
        <v>0</v>
      </c>
      <c r="Z100" s="77">
        <f>IF(AO100="1",BF100,0)</f>
        <v>0</v>
      </c>
      <c r="AA100" s="77">
        <f>IF(AO100="1",BG100,0)</f>
        <v>0</v>
      </c>
      <c r="AB100" s="77">
        <f>IF(AO100="7",BF100,0)</f>
        <v>0</v>
      </c>
      <c r="AC100" s="77">
        <f>IF(AO100="7",BG100,0)</f>
        <v>0</v>
      </c>
      <c r="AD100" s="77">
        <f>IF(AO100="2",BF100,0)</f>
        <v>0</v>
      </c>
      <c r="AE100" s="77">
        <f>IF(AO100="2",BG100,0)</f>
        <v>0</v>
      </c>
      <c r="AF100" s="77">
        <f>IF(AO100="0",BH100,0)</f>
        <v>0</v>
      </c>
      <c r="AG100" s="71" t="s">
        <v>129</v>
      </c>
      <c r="AH100" s="77">
        <f>IF(AL100=0,J100,0)</f>
        <v>0</v>
      </c>
      <c r="AI100" s="77">
        <f>IF(AL100=15,J100,0)</f>
        <v>0</v>
      </c>
      <c r="AJ100" s="77">
        <f>IF(AL100=21,J100,0)</f>
        <v>0</v>
      </c>
      <c r="AL100" s="77">
        <v>15</v>
      </c>
      <c r="AM100" s="77">
        <f>G100*0.813444899</f>
        <v>0</v>
      </c>
      <c r="AN100" s="77">
        <f>G100*(1-0.813444899)</f>
        <v>0</v>
      </c>
      <c r="AO100" s="79" t="s">
        <v>132</v>
      </c>
      <c r="AT100" s="77">
        <f>AU100+AV100</f>
        <v>0</v>
      </c>
      <c r="AU100" s="77">
        <f>F100*AM100</f>
        <v>0</v>
      </c>
      <c r="AV100" s="77">
        <f>F100*AN100</f>
        <v>0</v>
      </c>
      <c r="AW100" s="79" t="s">
        <v>301</v>
      </c>
      <c r="AX100" s="79" t="s">
        <v>302</v>
      </c>
      <c r="AY100" s="71" t="s">
        <v>137</v>
      </c>
      <c r="BA100" s="77">
        <f>AU100+AV100</f>
        <v>0</v>
      </c>
      <c r="BB100" s="77">
        <f>G100/(100-BC100)*100</f>
        <v>0</v>
      </c>
      <c r="BC100" s="77">
        <v>0</v>
      </c>
      <c r="BD100" s="77">
        <f>L100</f>
        <v>0.8306154</v>
      </c>
      <c r="BF100" s="77">
        <f>F100*AM100</f>
        <v>0</v>
      </c>
      <c r="BG100" s="77">
        <f>F100*AN100</f>
        <v>0</v>
      </c>
      <c r="BH100" s="77">
        <f>F100*G100</f>
        <v>0</v>
      </c>
      <c r="BI100" s="77"/>
      <c r="BJ100" s="77">
        <v>56</v>
      </c>
      <c r="BU100" s="77" t="e">
        <f>#REF!</f>
        <v>#REF!</v>
      </c>
      <c r="BV100" s="70" t="s">
        <v>306</v>
      </c>
    </row>
    <row r="101" spans="1:74" ht="40.5" customHeight="1" x14ac:dyDescent="0.25">
      <c r="A101" s="104"/>
      <c r="B101" s="81" t="s">
        <v>138</v>
      </c>
      <c r="C101" s="303" t="s">
        <v>857</v>
      </c>
      <c r="D101" s="304"/>
      <c r="E101" s="304"/>
      <c r="F101" s="304"/>
      <c r="G101" s="304"/>
      <c r="H101" s="304"/>
      <c r="I101" s="304"/>
      <c r="J101" s="304"/>
      <c r="K101" s="304"/>
      <c r="L101" s="304"/>
      <c r="M101" s="305"/>
    </row>
    <row r="102" spans="1:74" x14ac:dyDescent="0.25">
      <c r="A102" s="92" t="s">
        <v>331</v>
      </c>
      <c r="B102" s="69" t="s">
        <v>305</v>
      </c>
      <c r="C102" s="306" t="s">
        <v>306</v>
      </c>
      <c r="D102" s="307"/>
      <c r="E102" s="69" t="s">
        <v>166</v>
      </c>
      <c r="F102" s="77">
        <v>1.77</v>
      </c>
      <c r="G102" s="218">
        <v>0</v>
      </c>
      <c r="H102" s="77">
        <f>F102*AM102</f>
        <v>0</v>
      </c>
      <c r="I102" s="77">
        <f>F102*AN102</f>
        <v>0</v>
      </c>
      <c r="J102" s="77">
        <f>F102*G102</f>
        <v>0</v>
      </c>
      <c r="K102" s="77">
        <v>0.48574000000000001</v>
      </c>
      <c r="L102" s="77">
        <f>F102*K102</f>
        <v>0.85975979999999996</v>
      </c>
      <c r="M102" s="103" t="s">
        <v>35</v>
      </c>
      <c r="X102" s="77">
        <f>IF(AO102="5",BH102,0)</f>
        <v>0</v>
      </c>
      <c r="Z102" s="77">
        <f>IF(AO102="1",BF102,0)</f>
        <v>0</v>
      </c>
      <c r="AA102" s="77">
        <f>IF(AO102="1",BG102,0)</f>
        <v>0</v>
      </c>
      <c r="AB102" s="77">
        <f>IF(AO102="7",BF102,0)</f>
        <v>0</v>
      </c>
      <c r="AC102" s="77">
        <f>IF(AO102="7",BG102,0)</f>
        <v>0</v>
      </c>
      <c r="AD102" s="77">
        <f>IF(AO102="2",BF102,0)</f>
        <v>0</v>
      </c>
      <c r="AE102" s="77">
        <f>IF(AO102="2",BG102,0)</f>
        <v>0</v>
      </c>
      <c r="AF102" s="77">
        <f>IF(AO102="0",BH102,0)</f>
        <v>0</v>
      </c>
      <c r="AG102" s="71" t="s">
        <v>129</v>
      </c>
      <c r="AH102" s="77">
        <f>IF(AL102=0,J102,0)</f>
        <v>0</v>
      </c>
      <c r="AI102" s="77">
        <f>IF(AL102=15,J102,0)</f>
        <v>0</v>
      </c>
      <c r="AJ102" s="77">
        <f>IF(AL102=21,J102,0)</f>
        <v>0</v>
      </c>
      <c r="AL102" s="77">
        <v>15</v>
      </c>
      <c r="AM102" s="77">
        <f>G102*0.813457172</f>
        <v>0</v>
      </c>
      <c r="AN102" s="77">
        <f>G102*(1-0.813457172)</f>
        <v>0</v>
      </c>
      <c r="AO102" s="79" t="s">
        <v>132</v>
      </c>
      <c r="AT102" s="77">
        <f>AU102+AV102</f>
        <v>0</v>
      </c>
      <c r="AU102" s="77">
        <f>F102*AM102</f>
        <v>0</v>
      </c>
      <c r="AV102" s="77">
        <f>F102*AN102</f>
        <v>0</v>
      </c>
      <c r="AW102" s="79" t="s">
        <v>301</v>
      </c>
      <c r="AX102" s="79" t="s">
        <v>302</v>
      </c>
      <c r="AY102" s="71" t="s">
        <v>137</v>
      </c>
      <c r="BA102" s="77">
        <f>AU102+AV102</f>
        <v>0</v>
      </c>
      <c r="BB102" s="77">
        <f>G102/(100-BC102)*100</f>
        <v>0</v>
      </c>
      <c r="BC102" s="77">
        <v>0</v>
      </c>
      <c r="BD102" s="77">
        <f>L102</f>
        <v>0.85975979999999996</v>
      </c>
      <c r="BF102" s="77">
        <f>F102*AM102</f>
        <v>0</v>
      </c>
      <c r="BG102" s="77">
        <f>F102*AN102</f>
        <v>0</v>
      </c>
      <c r="BH102" s="77">
        <f>F102*G102</f>
        <v>0</v>
      </c>
      <c r="BI102" s="77"/>
      <c r="BJ102" s="77">
        <v>56</v>
      </c>
      <c r="BU102" s="77" t="e">
        <f>#REF!</f>
        <v>#REF!</v>
      </c>
      <c r="BV102" s="70" t="s">
        <v>306</v>
      </c>
    </row>
    <row r="103" spans="1:74" ht="40.5" customHeight="1" x14ac:dyDescent="0.25">
      <c r="A103" s="104"/>
      <c r="B103" s="81" t="s">
        <v>138</v>
      </c>
      <c r="C103" s="303" t="s">
        <v>858</v>
      </c>
      <c r="D103" s="304"/>
      <c r="E103" s="304"/>
      <c r="F103" s="304"/>
      <c r="G103" s="304"/>
      <c r="H103" s="304"/>
      <c r="I103" s="304"/>
      <c r="J103" s="304"/>
      <c r="K103" s="304"/>
      <c r="L103" s="304"/>
      <c r="M103" s="305"/>
    </row>
    <row r="104" spans="1:74" x14ac:dyDescent="0.25">
      <c r="A104" s="92" t="s">
        <v>337</v>
      </c>
      <c r="B104" s="69" t="s">
        <v>311</v>
      </c>
      <c r="C104" s="306" t="s">
        <v>312</v>
      </c>
      <c r="D104" s="307"/>
      <c r="E104" s="69" t="s">
        <v>166</v>
      </c>
      <c r="F104" s="77">
        <v>1.73</v>
      </c>
      <c r="G104" s="218">
        <v>0</v>
      </c>
      <c r="H104" s="77">
        <f>F104*AM104</f>
        <v>0</v>
      </c>
      <c r="I104" s="77">
        <f>F104*AN104</f>
        <v>0</v>
      </c>
      <c r="J104" s="77">
        <f>F104*G104</f>
        <v>0</v>
      </c>
      <c r="K104" s="77">
        <v>0.378</v>
      </c>
      <c r="L104" s="77">
        <f>F104*K104</f>
        <v>0.65393999999999997</v>
      </c>
      <c r="M104" s="103" t="s">
        <v>35</v>
      </c>
      <c r="X104" s="77">
        <f>IF(AO104="5",BH104,0)</f>
        <v>0</v>
      </c>
      <c r="Z104" s="77">
        <f>IF(AO104="1",BF104,0)</f>
        <v>0</v>
      </c>
      <c r="AA104" s="77">
        <f>IF(AO104="1",BG104,0)</f>
        <v>0</v>
      </c>
      <c r="AB104" s="77">
        <f>IF(AO104="7",BF104,0)</f>
        <v>0</v>
      </c>
      <c r="AC104" s="77">
        <f>IF(AO104="7",BG104,0)</f>
        <v>0</v>
      </c>
      <c r="AD104" s="77">
        <f>IF(AO104="2",BF104,0)</f>
        <v>0</v>
      </c>
      <c r="AE104" s="77">
        <f>IF(AO104="2",BG104,0)</f>
        <v>0</v>
      </c>
      <c r="AF104" s="77">
        <f>IF(AO104="0",BH104,0)</f>
        <v>0</v>
      </c>
      <c r="AG104" s="71" t="s">
        <v>129</v>
      </c>
      <c r="AH104" s="77">
        <f>IF(AL104=0,J104,0)</f>
        <v>0</v>
      </c>
      <c r="AI104" s="77">
        <f>IF(AL104=15,J104,0)</f>
        <v>0</v>
      </c>
      <c r="AJ104" s="77">
        <f>IF(AL104=21,J104,0)</f>
        <v>0</v>
      </c>
      <c r="AL104" s="77">
        <v>15</v>
      </c>
      <c r="AM104" s="77">
        <f>G104*0.826821476</f>
        <v>0</v>
      </c>
      <c r="AN104" s="77">
        <f>G104*(1-0.826821476)</f>
        <v>0</v>
      </c>
      <c r="AO104" s="79" t="s">
        <v>132</v>
      </c>
      <c r="AT104" s="77">
        <f>AU104+AV104</f>
        <v>0</v>
      </c>
      <c r="AU104" s="77">
        <f>F104*AM104</f>
        <v>0</v>
      </c>
      <c r="AV104" s="77">
        <f>F104*AN104</f>
        <v>0</v>
      </c>
      <c r="AW104" s="79" t="s">
        <v>301</v>
      </c>
      <c r="AX104" s="79" t="s">
        <v>302</v>
      </c>
      <c r="AY104" s="71" t="s">
        <v>137</v>
      </c>
      <c r="BA104" s="77">
        <f>AU104+AV104</f>
        <v>0</v>
      </c>
      <c r="BB104" s="77">
        <f>G104/(100-BC104)*100</f>
        <v>0</v>
      </c>
      <c r="BC104" s="77">
        <v>0</v>
      </c>
      <c r="BD104" s="77">
        <f>L104</f>
        <v>0.65393999999999997</v>
      </c>
      <c r="BF104" s="77">
        <f>F104*AM104</f>
        <v>0</v>
      </c>
      <c r="BG104" s="77">
        <f>F104*AN104</f>
        <v>0</v>
      </c>
      <c r="BH104" s="77">
        <f>F104*G104</f>
        <v>0</v>
      </c>
      <c r="BI104" s="77"/>
      <c r="BJ104" s="77">
        <v>56</v>
      </c>
      <c r="BU104" s="77" t="e">
        <f>#REF!</f>
        <v>#REF!</v>
      </c>
      <c r="BV104" s="70" t="s">
        <v>312</v>
      </c>
    </row>
    <row r="105" spans="1:74" ht="40.5" customHeight="1" x14ac:dyDescent="0.25">
      <c r="A105" s="104"/>
      <c r="B105" s="81" t="s">
        <v>138</v>
      </c>
      <c r="C105" s="303" t="s">
        <v>859</v>
      </c>
      <c r="D105" s="304"/>
      <c r="E105" s="304"/>
      <c r="F105" s="304"/>
      <c r="G105" s="304"/>
      <c r="H105" s="304"/>
      <c r="I105" s="304"/>
      <c r="J105" s="304"/>
      <c r="K105" s="304"/>
      <c r="L105" s="304"/>
      <c r="M105" s="305"/>
    </row>
    <row r="106" spans="1:74" x14ac:dyDescent="0.25">
      <c r="A106" s="105" t="s">
        <v>129</v>
      </c>
      <c r="B106" s="74" t="s">
        <v>314</v>
      </c>
      <c r="C106" s="314" t="s">
        <v>315</v>
      </c>
      <c r="D106" s="315"/>
      <c r="E106" s="75" t="s">
        <v>87</v>
      </c>
      <c r="F106" s="75" t="s">
        <v>87</v>
      </c>
      <c r="G106" s="75" t="s">
        <v>87</v>
      </c>
      <c r="H106" s="67">
        <f>SUM(H107:H117)</f>
        <v>0</v>
      </c>
      <c r="I106" s="67">
        <f>SUM(I107:I117)</f>
        <v>0</v>
      </c>
      <c r="J106" s="67">
        <f>SUM(J107:J117)</f>
        <v>0</v>
      </c>
      <c r="K106" s="71" t="s">
        <v>129</v>
      </c>
      <c r="L106" s="67">
        <f>SUM(L107:L117)</f>
        <v>1.5150000000000001E-3</v>
      </c>
      <c r="M106" s="106" t="s">
        <v>129</v>
      </c>
      <c r="AG106" s="71" t="s">
        <v>129</v>
      </c>
      <c r="AQ106" s="67">
        <f>SUM(AH107:AH117)</f>
        <v>0</v>
      </c>
      <c r="AR106" s="67">
        <f>SUM(AI107:AI117)</f>
        <v>0</v>
      </c>
      <c r="AS106" s="67">
        <f>SUM(AJ107:AJ117)</f>
        <v>0</v>
      </c>
    </row>
    <row r="107" spans="1:74" x14ac:dyDescent="0.25">
      <c r="A107" s="92" t="s">
        <v>342</v>
      </c>
      <c r="B107" s="69" t="s">
        <v>860</v>
      </c>
      <c r="C107" s="306" t="s">
        <v>861</v>
      </c>
      <c r="D107" s="307"/>
      <c r="E107" s="69" t="s">
        <v>145</v>
      </c>
      <c r="F107" s="77">
        <v>1.5</v>
      </c>
      <c r="G107" s="218">
        <v>0</v>
      </c>
      <c r="H107" s="77">
        <f>F107*AM107</f>
        <v>0</v>
      </c>
      <c r="I107" s="77">
        <f>F107*AN107</f>
        <v>0</v>
      </c>
      <c r="J107" s="77">
        <f>F107*G107</f>
        <v>0</v>
      </c>
      <c r="K107" s="77">
        <v>1.0000000000000001E-5</v>
      </c>
      <c r="L107" s="77">
        <f>F107*K107</f>
        <v>1.5000000000000002E-5</v>
      </c>
      <c r="M107" s="103" t="s">
        <v>35</v>
      </c>
      <c r="X107" s="77">
        <f>IF(AO107="5",BH107,0)</f>
        <v>0</v>
      </c>
      <c r="Z107" s="77">
        <f>IF(AO107="1",BF107,0)</f>
        <v>0</v>
      </c>
      <c r="AA107" s="77">
        <f>IF(AO107="1",BG107,0)</f>
        <v>0</v>
      </c>
      <c r="AB107" s="77">
        <f>IF(AO107="7",BF107,0)</f>
        <v>0</v>
      </c>
      <c r="AC107" s="77">
        <f>IF(AO107="7",BG107,0)</f>
        <v>0</v>
      </c>
      <c r="AD107" s="77">
        <f>IF(AO107="2",BF107,0)</f>
        <v>0</v>
      </c>
      <c r="AE107" s="77">
        <f>IF(AO107="2",BG107,0)</f>
        <v>0</v>
      </c>
      <c r="AF107" s="77">
        <f>IF(AO107="0",BH107,0)</f>
        <v>0</v>
      </c>
      <c r="AG107" s="71" t="s">
        <v>129</v>
      </c>
      <c r="AH107" s="77">
        <f>IF(AL107=0,J107,0)</f>
        <v>0</v>
      </c>
      <c r="AI107" s="77">
        <f>IF(AL107=15,J107,0)</f>
        <v>0</v>
      </c>
      <c r="AJ107" s="77">
        <f>IF(AL107=21,J107,0)</f>
        <v>0</v>
      </c>
      <c r="AL107" s="77">
        <v>15</v>
      </c>
      <c r="AM107" s="77">
        <f>G107*0.006300813</f>
        <v>0</v>
      </c>
      <c r="AN107" s="77">
        <f>G107*(1-0.006300813)</f>
        <v>0</v>
      </c>
      <c r="AO107" s="79" t="s">
        <v>132</v>
      </c>
      <c r="AT107" s="77">
        <f>AU107+AV107</f>
        <v>0</v>
      </c>
      <c r="AU107" s="77">
        <f>F107*AM107</f>
        <v>0</v>
      </c>
      <c r="AV107" s="77">
        <f>F107*AN107</f>
        <v>0</v>
      </c>
      <c r="AW107" s="79" t="s">
        <v>319</v>
      </c>
      <c r="AX107" s="79" t="s">
        <v>320</v>
      </c>
      <c r="AY107" s="71" t="s">
        <v>137</v>
      </c>
      <c r="BA107" s="77">
        <f>AU107+AV107</f>
        <v>0</v>
      </c>
      <c r="BB107" s="77">
        <f>G107/(100-BC107)*100</f>
        <v>0</v>
      </c>
      <c r="BC107" s="77">
        <v>0</v>
      </c>
      <c r="BD107" s="77">
        <f>L107</f>
        <v>1.5000000000000002E-5</v>
      </c>
      <c r="BF107" s="77">
        <f>F107*AM107</f>
        <v>0</v>
      </c>
      <c r="BG107" s="77">
        <f>F107*AN107</f>
        <v>0</v>
      </c>
      <c r="BH107" s="77">
        <f>F107*G107</f>
        <v>0</v>
      </c>
      <c r="BI107" s="77"/>
      <c r="BJ107" s="77">
        <v>87</v>
      </c>
      <c r="BU107" s="77" t="e">
        <f>#REF!</f>
        <v>#REF!</v>
      </c>
      <c r="BV107" s="70" t="s">
        <v>861</v>
      </c>
    </row>
    <row r="108" spans="1:74" ht="54" customHeight="1" x14ac:dyDescent="0.25">
      <c r="A108" s="104"/>
      <c r="B108" s="81" t="s">
        <v>138</v>
      </c>
      <c r="C108" s="303" t="s">
        <v>862</v>
      </c>
      <c r="D108" s="304"/>
      <c r="E108" s="304"/>
      <c r="F108" s="304"/>
      <c r="G108" s="304"/>
      <c r="H108" s="304"/>
      <c r="I108" s="304"/>
      <c r="J108" s="304"/>
      <c r="K108" s="304"/>
      <c r="L108" s="304"/>
      <c r="M108" s="305"/>
    </row>
    <row r="109" spans="1:74" x14ac:dyDescent="0.25">
      <c r="A109" s="92" t="s">
        <v>346</v>
      </c>
      <c r="B109" s="69" t="s">
        <v>863</v>
      </c>
      <c r="C109" s="306" t="s">
        <v>864</v>
      </c>
      <c r="D109" s="307"/>
      <c r="E109" s="69" t="s">
        <v>325</v>
      </c>
      <c r="F109" s="77">
        <v>2</v>
      </c>
      <c r="G109" s="218">
        <v>0</v>
      </c>
      <c r="H109" s="77">
        <f>F109*AM109</f>
        <v>0</v>
      </c>
      <c r="I109" s="77">
        <f>F109*AN109</f>
        <v>0</v>
      </c>
      <c r="J109" s="77">
        <f>F109*G109</f>
        <v>0</v>
      </c>
      <c r="K109" s="77">
        <v>5.0000000000000002E-5</v>
      </c>
      <c r="L109" s="77">
        <f>F109*K109</f>
        <v>1E-4</v>
      </c>
      <c r="M109" s="103" t="s">
        <v>35</v>
      </c>
      <c r="X109" s="77">
        <f>IF(AO109="5",BH109,0)</f>
        <v>0</v>
      </c>
      <c r="Z109" s="77">
        <f>IF(AO109="1",BF109,0)</f>
        <v>0</v>
      </c>
      <c r="AA109" s="77">
        <f>IF(AO109="1",BG109,0)</f>
        <v>0</v>
      </c>
      <c r="AB109" s="77">
        <f>IF(AO109="7",BF109,0)</f>
        <v>0</v>
      </c>
      <c r="AC109" s="77">
        <f>IF(AO109="7",BG109,0)</f>
        <v>0</v>
      </c>
      <c r="AD109" s="77">
        <f>IF(AO109="2",BF109,0)</f>
        <v>0</v>
      </c>
      <c r="AE109" s="77">
        <f>IF(AO109="2",BG109,0)</f>
        <v>0</v>
      </c>
      <c r="AF109" s="77">
        <f>IF(AO109="0",BH109,0)</f>
        <v>0</v>
      </c>
      <c r="AG109" s="71" t="s">
        <v>129</v>
      </c>
      <c r="AH109" s="77">
        <f>IF(AL109=0,J109,0)</f>
        <v>0</v>
      </c>
      <c r="AI109" s="77">
        <f>IF(AL109=15,J109,0)</f>
        <v>0</v>
      </c>
      <c r="AJ109" s="77">
        <f>IF(AL109=21,J109,0)</f>
        <v>0</v>
      </c>
      <c r="AL109" s="77">
        <v>15</v>
      </c>
      <c r="AM109" s="77">
        <f>G109*0.001549487</f>
        <v>0</v>
      </c>
      <c r="AN109" s="77">
        <f>G109*(1-0.001549487)</f>
        <v>0</v>
      </c>
      <c r="AO109" s="79" t="s">
        <v>132</v>
      </c>
      <c r="AT109" s="77">
        <f>AU109+AV109</f>
        <v>0</v>
      </c>
      <c r="AU109" s="77">
        <f>F109*AM109</f>
        <v>0</v>
      </c>
      <c r="AV109" s="77">
        <f>F109*AN109</f>
        <v>0</v>
      </c>
      <c r="AW109" s="79" t="s">
        <v>319</v>
      </c>
      <c r="AX109" s="79" t="s">
        <v>320</v>
      </c>
      <c r="AY109" s="71" t="s">
        <v>137</v>
      </c>
      <c r="BA109" s="77">
        <f>AU109+AV109</f>
        <v>0</v>
      </c>
      <c r="BB109" s="77">
        <f>G109/(100-BC109)*100</f>
        <v>0</v>
      </c>
      <c r="BC109" s="77">
        <v>0</v>
      </c>
      <c r="BD109" s="77">
        <f>L109</f>
        <v>1E-4</v>
      </c>
      <c r="BF109" s="77">
        <f>F109*AM109</f>
        <v>0</v>
      </c>
      <c r="BG109" s="77">
        <f>F109*AN109</f>
        <v>0</v>
      </c>
      <c r="BH109" s="77">
        <f>F109*G109</f>
        <v>0</v>
      </c>
      <c r="BI109" s="77"/>
      <c r="BJ109" s="77">
        <v>87</v>
      </c>
      <c r="BU109" s="77" t="e">
        <f>#REF!</f>
        <v>#REF!</v>
      </c>
      <c r="BV109" s="70" t="s">
        <v>864</v>
      </c>
    </row>
    <row r="110" spans="1:74" ht="54" customHeight="1" x14ac:dyDescent="0.25">
      <c r="A110" s="104"/>
      <c r="B110" s="81" t="s">
        <v>138</v>
      </c>
      <c r="C110" s="303" t="s">
        <v>865</v>
      </c>
      <c r="D110" s="304"/>
      <c r="E110" s="304"/>
      <c r="F110" s="304"/>
      <c r="G110" s="304"/>
      <c r="H110" s="304"/>
      <c r="I110" s="304"/>
      <c r="J110" s="304"/>
      <c r="K110" s="304"/>
      <c r="L110" s="304"/>
      <c r="M110" s="305"/>
    </row>
    <row r="111" spans="1:74" x14ac:dyDescent="0.25">
      <c r="A111" s="92" t="s">
        <v>288</v>
      </c>
      <c r="B111" s="69" t="s">
        <v>317</v>
      </c>
      <c r="C111" s="306" t="s">
        <v>318</v>
      </c>
      <c r="D111" s="307"/>
      <c r="E111" s="69" t="s">
        <v>145</v>
      </c>
      <c r="F111" s="77">
        <v>7</v>
      </c>
      <c r="G111" s="218">
        <v>0</v>
      </c>
      <c r="H111" s="77">
        <f>F111*AM111</f>
        <v>0</v>
      </c>
      <c r="I111" s="77">
        <f>F111*AN111</f>
        <v>0</v>
      </c>
      <c r="J111" s="77">
        <f>F111*G111</f>
        <v>0</v>
      </c>
      <c r="K111" s="77">
        <v>1.6000000000000001E-4</v>
      </c>
      <c r="L111" s="77">
        <f>F111*K111</f>
        <v>1.1200000000000001E-3</v>
      </c>
      <c r="M111" s="103" t="s">
        <v>35</v>
      </c>
      <c r="X111" s="77">
        <f>IF(AO111="5",BH111,0)</f>
        <v>0</v>
      </c>
      <c r="Z111" s="77">
        <f>IF(AO111="1",BF111,0)</f>
        <v>0</v>
      </c>
      <c r="AA111" s="77">
        <f>IF(AO111="1",BG111,0)</f>
        <v>0</v>
      </c>
      <c r="AB111" s="77">
        <f>IF(AO111="7",BF111,0)</f>
        <v>0</v>
      </c>
      <c r="AC111" s="77">
        <f>IF(AO111="7",BG111,0)</f>
        <v>0</v>
      </c>
      <c r="AD111" s="77">
        <f>IF(AO111="2",BF111,0)</f>
        <v>0</v>
      </c>
      <c r="AE111" s="77">
        <f>IF(AO111="2",BG111,0)</f>
        <v>0</v>
      </c>
      <c r="AF111" s="77">
        <f>IF(AO111="0",BH111,0)</f>
        <v>0</v>
      </c>
      <c r="AG111" s="71" t="s">
        <v>129</v>
      </c>
      <c r="AH111" s="77">
        <f>IF(AL111=0,J111,0)</f>
        <v>0</v>
      </c>
      <c r="AI111" s="77">
        <f>IF(AL111=15,J111,0)</f>
        <v>0</v>
      </c>
      <c r="AJ111" s="77">
        <f>IF(AL111=21,J111,0)</f>
        <v>0</v>
      </c>
      <c r="AL111" s="77">
        <v>15</v>
      </c>
      <c r="AM111" s="77">
        <f>G111*0.065555556</f>
        <v>0</v>
      </c>
      <c r="AN111" s="77">
        <f>G111*(1-0.065555556)</f>
        <v>0</v>
      </c>
      <c r="AO111" s="79" t="s">
        <v>132</v>
      </c>
      <c r="AT111" s="77">
        <f>AU111+AV111</f>
        <v>0</v>
      </c>
      <c r="AU111" s="77">
        <f>F111*AM111</f>
        <v>0</v>
      </c>
      <c r="AV111" s="77">
        <f>F111*AN111</f>
        <v>0</v>
      </c>
      <c r="AW111" s="79" t="s">
        <v>319</v>
      </c>
      <c r="AX111" s="79" t="s">
        <v>320</v>
      </c>
      <c r="AY111" s="71" t="s">
        <v>137</v>
      </c>
      <c r="BA111" s="77">
        <f>AU111+AV111</f>
        <v>0</v>
      </c>
      <c r="BB111" s="77">
        <f>G111/(100-BC111)*100</f>
        <v>0</v>
      </c>
      <c r="BC111" s="77">
        <v>0</v>
      </c>
      <c r="BD111" s="77">
        <f>L111</f>
        <v>1.1200000000000001E-3</v>
      </c>
      <c r="BF111" s="77">
        <f>F111*AM111</f>
        <v>0</v>
      </c>
      <c r="BG111" s="77">
        <f>F111*AN111</f>
        <v>0</v>
      </c>
      <c r="BH111" s="77">
        <f>F111*G111</f>
        <v>0</v>
      </c>
      <c r="BI111" s="77"/>
      <c r="BJ111" s="77">
        <v>87</v>
      </c>
      <c r="BU111" s="77" t="e">
        <f>#REF!</f>
        <v>#REF!</v>
      </c>
      <c r="BV111" s="70" t="s">
        <v>318</v>
      </c>
    </row>
    <row r="112" spans="1:74" ht="54" customHeight="1" thickBot="1" x14ac:dyDescent="0.3">
      <c r="A112" s="107"/>
      <c r="B112" s="108" t="s">
        <v>138</v>
      </c>
      <c r="C112" s="308" t="s">
        <v>866</v>
      </c>
      <c r="D112" s="309"/>
      <c r="E112" s="309"/>
      <c r="F112" s="309"/>
      <c r="G112" s="309"/>
      <c r="H112" s="309"/>
      <c r="I112" s="309"/>
      <c r="J112" s="309"/>
      <c r="K112" s="309"/>
      <c r="L112" s="309"/>
      <c r="M112" s="310"/>
    </row>
    <row r="113" spans="1:74" x14ac:dyDescent="0.25">
      <c r="A113" s="122" t="s">
        <v>353</v>
      </c>
      <c r="B113" s="109" t="s">
        <v>323</v>
      </c>
      <c r="C113" s="312" t="s">
        <v>324</v>
      </c>
      <c r="D113" s="313"/>
      <c r="E113" s="109" t="s">
        <v>325</v>
      </c>
      <c r="F113" s="123">
        <v>1</v>
      </c>
      <c r="G113" s="219">
        <v>0</v>
      </c>
      <c r="H113" s="123">
        <f>F113*AM113</f>
        <v>0</v>
      </c>
      <c r="I113" s="123">
        <f>F113*AN113</f>
        <v>0</v>
      </c>
      <c r="J113" s="123">
        <f>F113*G113</f>
        <v>0</v>
      </c>
      <c r="K113" s="123">
        <v>5.0000000000000002E-5</v>
      </c>
      <c r="L113" s="123">
        <f>F113*K113</f>
        <v>5.0000000000000002E-5</v>
      </c>
      <c r="M113" s="124" t="s">
        <v>35</v>
      </c>
      <c r="X113" s="77">
        <f>IF(AO113="5",BH113,0)</f>
        <v>0</v>
      </c>
      <c r="Z113" s="77">
        <f>IF(AO113="1",BF113,0)</f>
        <v>0</v>
      </c>
      <c r="AA113" s="77">
        <f>IF(AO113="1",BG113,0)</f>
        <v>0</v>
      </c>
      <c r="AB113" s="77">
        <f>IF(AO113="7",BF113,0)</f>
        <v>0</v>
      </c>
      <c r="AC113" s="77">
        <f>IF(AO113="7",BG113,0)</f>
        <v>0</v>
      </c>
      <c r="AD113" s="77">
        <f>IF(AO113="2",BF113,0)</f>
        <v>0</v>
      </c>
      <c r="AE113" s="77">
        <f>IF(AO113="2",BG113,0)</f>
        <v>0</v>
      </c>
      <c r="AF113" s="77">
        <f>IF(AO113="0",BH113,0)</f>
        <v>0</v>
      </c>
      <c r="AG113" s="71" t="s">
        <v>129</v>
      </c>
      <c r="AH113" s="77">
        <f>IF(AL113=0,J113,0)</f>
        <v>0</v>
      </c>
      <c r="AI113" s="77">
        <f>IF(AL113=15,J113,0)</f>
        <v>0</v>
      </c>
      <c r="AJ113" s="77">
        <f>IF(AL113=21,J113,0)</f>
        <v>0</v>
      </c>
      <c r="AL113" s="77">
        <v>15</v>
      </c>
      <c r="AM113" s="77">
        <f>G113*0.010466102</f>
        <v>0</v>
      </c>
      <c r="AN113" s="77">
        <f>G113*(1-0.010466102)</f>
        <v>0</v>
      </c>
      <c r="AO113" s="79" t="s">
        <v>132</v>
      </c>
      <c r="AT113" s="77">
        <f>AU113+AV113</f>
        <v>0</v>
      </c>
      <c r="AU113" s="77">
        <f>F113*AM113</f>
        <v>0</v>
      </c>
      <c r="AV113" s="77">
        <f>F113*AN113</f>
        <v>0</v>
      </c>
      <c r="AW113" s="79" t="s">
        <v>319</v>
      </c>
      <c r="AX113" s="79" t="s">
        <v>320</v>
      </c>
      <c r="AY113" s="71" t="s">
        <v>137</v>
      </c>
      <c r="BA113" s="77">
        <f>AU113+AV113</f>
        <v>0</v>
      </c>
      <c r="BB113" s="77">
        <f>G113/(100-BC113)*100</f>
        <v>0</v>
      </c>
      <c r="BC113" s="77">
        <v>0</v>
      </c>
      <c r="BD113" s="77">
        <f>L113</f>
        <v>5.0000000000000002E-5</v>
      </c>
      <c r="BF113" s="77">
        <f>F113*AM113</f>
        <v>0</v>
      </c>
      <c r="BG113" s="77">
        <f>F113*AN113</f>
        <v>0</v>
      </c>
      <c r="BH113" s="77">
        <f>F113*G113</f>
        <v>0</v>
      </c>
      <c r="BI113" s="77"/>
      <c r="BJ113" s="77">
        <v>87</v>
      </c>
      <c r="BU113" s="77" t="e">
        <f>#REF!</f>
        <v>#REF!</v>
      </c>
      <c r="BV113" s="70" t="s">
        <v>324</v>
      </c>
    </row>
    <row r="114" spans="1:74" ht="54" customHeight="1" x14ac:dyDescent="0.25">
      <c r="A114" s="104"/>
      <c r="B114" s="81" t="s">
        <v>138</v>
      </c>
      <c r="C114" s="303" t="s">
        <v>867</v>
      </c>
      <c r="D114" s="304"/>
      <c r="E114" s="304"/>
      <c r="F114" s="304"/>
      <c r="G114" s="304"/>
      <c r="H114" s="304"/>
      <c r="I114" s="304"/>
      <c r="J114" s="304"/>
      <c r="K114" s="304"/>
      <c r="L114" s="304"/>
      <c r="M114" s="305"/>
    </row>
    <row r="115" spans="1:74" x14ac:dyDescent="0.25">
      <c r="A115" s="92" t="s">
        <v>357</v>
      </c>
      <c r="B115" s="69" t="s">
        <v>328</v>
      </c>
      <c r="C115" s="306" t="s">
        <v>329</v>
      </c>
      <c r="D115" s="307"/>
      <c r="E115" s="69" t="s">
        <v>325</v>
      </c>
      <c r="F115" s="77">
        <v>3</v>
      </c>
      <c r="G115" s="218">
        <v>0</v>
      </c>
      <c r="H115" s="77">
        <f>F115*AM115</f>
        <v>0</v>
      </c>
      <c r="I115" s="77">
        <f>F115*AN115</f>
        <v>0</v>
      </c>
      <c r="J115" s="77">
        <f>F115*G115</f>
        <v>0</v>
      </c>
      <c r="K115" s="77">
        <v>3.0000000000000001E-5</v>
      </c>
      <c r="L115" s="77">
        <f>F115*K115</f>
        <v>9.0000000000000006E-5</v>
      </c>
      <c r="M115" s="103" t="s">
        <v>35</v>
      </c>
      <c r="X115" s="77">
        <f>IF(AO115="5",BH115,0)</f>
        <v>0</v>
      </c>
      <c r="Z115" s="77">
        <f>IF(AO115="1",BF115,0)</f>
        <v>0</v>
      </c>
      <c r="AA115" s="77">
        <f>IF(AO115="1",BG115,0)</f>
        <v>0</v>
      </c>
      <c r="AB115" s="77">
        <f>IF(AO115="7",BF115,0)</f>
        <v>0</v>
      </c>
      <c r="AC115" s="77">
        <f>IF(AO115="7",BG115,0)</f>
        <v>0</v>
      </c>
      <c r="AD115" s="77">
        <f>IF(AO115="2",BF115,0)</f>
        <v>0</v>
      </c>
      <c r="AE115" s="77">
        <f>IF(AO115="2",BG115,0)</f>
        <v>0</v>
      </c>
      <c r="AF115" s="77">
        <f>IF(AO115="0",BH115,0)</f>
        <v>0</v>
      </c>
      <c r="AG115" s="71" t="s">
        <v>129</v>
      </c>
      <c r="AH115" s="77">
        <f>IF(AL115=0,J115,0)</f>
        <v>0</v>
      </c>
      <c r="AI115" s="77">
        <f>IF(AL115=15,J115,0)</f>
        <v>0</v>
      </c>
      <c r="AJ115" s="77">
        <f>IF(AL115=21,J115,0)</f>
        <v>0</v>
      </c>
      <c r="AL115" s="77">
        <v>15</v>
      </c>
      <c r="AM115" s="77">
        <f>G115*0.01013245</f>
        <v>0</v>
      </c>
      <c r="AN115" s="77">
        <f>G115*(1-0.01013245)</f>
        <v>0</v>
      </c>
      <c r="AO115" s="79" t="s">
        <v>132</v>
      </c>
      <c r="AT115" s="77">
        <f>AU115+AV115</f>
        <v>0</v>
      </c>
      <c r="AU115" s="77">
        <f>F115*AM115</f>
        <v>0</v>
      </c>
      <c r="AV115" s="77">
        <f>F115*AN115</f>
        <v>0</v>
      </c>
      <c r="AW115" s="79" t="s">
        <v>319</v>
      </c>
      <c r="AX115" s="79" t="s">
        <v>320</v>
      </c>
      <c r="AY115" s="71" t="s">
        <v>137</v>
      </c>
      <c r="BA115" s="77">
        <f>AU115+AV115</f>
        <v>0</v>
      </c>
      <c r="BB115" s="77">
        <f>G115/(100-BC115)*100</f>
        <v>0</v>
      </c>
      <c r="BC115" s="77">
        <v>0</v>
      </c>
      <c r="BD115" s="77">
        <f>L115</f>
        <v>9.0000000000000006E-5</v>
      </c>
      <c r="BF115" s="77">
        <f>F115*AM115</f>
        <v>0</v>
      </c>
      <c r="BG115" s="77">
        <f>F115*AN115</f>
        <v>0</v>
      </c>
      <c r="BH115" s="77">
        <f>F115*G115</f>
        <v>0</v>
      </c>
      <c r="BI115" s="77"/>
      <c r="BJ115" s="77">
        <v>87</v>
      </c>
      <c r="BU115" s="77" t="e">
        <f>#REF!</f>
        <v>#REF!</v>
      </c>
      <c r="BV115" s="70" t="s">
        <v>329</v>
      </c>
    </row>
    <row r="116" spans="1:74" ht="40.5" customHeight="1" x14ac:dyDescent="0.25">
      <c r="A116" s="104"/>
      <c r="B116" s="81" t="s">
        <v>138</v>
      </c>
      <c r="C116" s="303" t="s">
        <v>330</v>
      </c>
      <c r="D116" s="304"/>
      <c r="E116" s="304"/>
      <c r="F116" s="304"/>
      <c r="G116" s="304"/>
      <c r="H116" s="304"/>
      <c r="I116" s="304"/>
      <c r="J116" s="304"/>
      <c r="K116" s="304"/>
      <c r="L116" s="304"/>
      <c r="M116" s="305"/>
    </row>
    <row r="117" spans="1:74" x14ac:dyDescent="0.25">
      <c r="A117" s="92" t="s">
        <v>361</v>
      </c>
      <c r="B117" s="69" t="s">
        <v>332</v>
      </c>
      <c r="C117" s="306" t="s">
        <v>333</v>
      </c>
      <c r="D117" s="307"/>
      <c r="E117" s="69" t="s">
        <v>325</v>
      </c>
      <c r="F117" s="77">
        <v>2</v>
      </c>
      <c r="G117" s="218">
        <v>0</v>
      </c>
      <c r="H117" s="77">
        <f>F117*AM117</f>
        <v>0</v>
      </c>
      <c r="I117" s="77">
        <f>F117*AN117</f>
        <v>0</v>
      </c>
      <c r="J117" s="77">
        <f>F117*G117</f>
        <v>0</v>
      </c>
      <c r="K117" s="77">
        <v>6.9999999999999994E-5</v>
      </c>
      <c r="L117" s="77">
        <f>F117*K117</f>
        <v>1.3999999999999999E-4</v>
      </c>
      <c r="M117" s="103" t="s">
        <v>35</v>
      </c>
      <c r="X117" s="77">
        <f>IF(AO117="5",BH117,0)</f>
        <v>0</v>
      </c>
      <c r="Z117" s="77">
        <f>IF(AO117="1",BF117,0)</f>
        <v>0</v>
      </c>
      <c r="AA117" s="77">
        <f>IF(AO117="1",BG117,0)</f>
        <v>0</v>
      </c>
      <c r="AB117" s="77">
        <f>IF(AO117="7",BF117,0)</f>
        <v>0</v>
      </c>
      <c r="AC117" s="77">
        <f>IF(AO117="7",BG117,0)</f>
        <v>0</v>
      </c>
      <c r="AD117" s="77">
        <f>IF(AO117="2",BF117,0)</f>
        <v>0</v>
      </c>
      <c r="AE117" s="77">
        <f>IF(AO117="2",BG117,0)</f>
        <v>0</v>
      </c>
      <c r="AF117" s="77">
        <f>IF(AO117="0",BH117,0)</f>
        <v>0</v>
      </c>
      <c r="AG117" s="71" t="s">
        <v>129</v>
      </c>
      <c r="AH117" s="77">
        <f>IF(AL117=0,J117,0)</f>
        <v>0</v>
      </c>
      <c r="AI117" s="77">
        <f>IF(AL117=15,J117,0)</f>
        <v>0</v>
      </c>
      <c r="AJ117" s="77">
        <f>IF(AL117=21,J117,0)</f>
        <v>0</v>
      </c>
      <c r="AL117" s="77">
        <v>15</v>
      </c>
      <c r="AM117" s="77">
        <f>G117*0.011628788</f>
        <v>0</v>
      </c>
      <c r="AN117" s="77">
        <f>G117*(1-0.011628788)</f>
        <v>0</v>
      </c>
      <c r="AO117" s="79" t="s">
        <v>132</v>
      </c>
      <c r="AT117" s="77">
        <f>AU117+AV117</f>
        <v>0</v>
      </c>
      <c r="AU117" s="77">
        <f>F117*AM117</f>
        <v>0</v>
      </c>
      <c r="AV117" s="77">
        <f>F117*AN117</f>
        <v>0</v>
      </c>
      <c r="AW117" s="79" t="s">
        <v>319</v>
      </c>
      <c r="AX117" s="79" t="s">
        <v>320</v>
      </c>
      <c r="AY117" s="71" t="s">
        <v>137</v>
      </c>
      <c r="BA117" s="77">
        <f>AU117+AV117</f>
        <v>0</v>
      </c>
      <c r="BB117" s="77">
        <f>G117/(100-BC117)*100</f>
        <v>0</v>
      </c>
      <c r="BC117" s="77">
        <v>0</v>
      </c>
      <c r="BD117" s="77">
        <f>L117</f>
        <v>1.3999999999999999E-4</v>
      </c>
      <c r="BF117" s="77">
        <f>F117*AM117</f>
        <v>0</v>
      </c>
      <c r="BG117" s="77">
        <f>F117*AN117</f>
        <v>0</v>
      </c>
      <c r="BH117" s="77">
        <f>F117*G117</f>
        <v>0</v>
      </c>
      <c r="BI117" s="77"/>
      <c r="BJ117" s="77">
        <v>87</v>
      </c>
      <c r="BU117" s="77" t="e">
        <f>#REF!</f>
        <v>#REF!</v>
      </c>
      <c r="BV117" s="70" t="s">
        <v>333</v>
      </c>
    </row>
    <row r="118" spans="1:74" ht="40.5" customHeight="1" x14ac:dyDescent="0.25">
      <c r="A118" s="104"/>
      <c r="B118" s="81" t="s">
        <v>138</v>
      </c>
      <c r="C118" s="303" t="s">
        <v>868</v>
      </c>
      <c r="D118" s="304"/>
      <c r="E118" s="304"/>
      <c r="F118" s="304"/>
      <c r="G118" s="304"/>
      <c r="H118" s="304"/>
      <c r="I118" s="304"/>
      <c r="J118" s="304"/>
      <c r="K118" s="304"/>
      <c r="L118" s="304"/>
      <c r="M118" s="305"/>
    </row>
    <row r="119" spans="1:74" x14ac:dyDescent="0.25">
      <c r="A119" s="105" t="s">
        <v>129</v>
      </c>
      <c r="B119" s="74" t="s">
        <v>335</v>
      </c>
      <c r="C119" s="314" t="s">
        <v>336</v>
      </c>
      <c r="D119" s="315"/>
      <c r="E119" s="75" t="s">
        <v>87</v>
      </c>
      <c r="F119" s="75" t="s">
        <v>87</v>
      </c>
      <c r="G119" s="75" t="s">
        <v>87</v>
      </c>
      <c r="H119" s="67">
        <f>SUM(H120:H136)</f>
        <v>0</v>
      </c>
      <c r="I119" s="67">
        <f>SUM(I120:I136)</f>
        <v>0</v>
      </c>
      <c r="J119" s="67">
        <f>SUM(J120:J136)</f>
        <v>0</v>
      </c>
      <c r="K119" s="71" t="s">
        <v>129</v>
      </c>
      <c r="L119" s="67">
        <f>SUM(L120:L136)</f>
        <v>1.2930000000000001E-2</v>
      </c>
      <c r="M119" s="106" t="s">
        <v>129</v>
      </c>
      <c r="AG119" s="71" t="s">
        <v>129</v>
      </c>
      <c r="AQ119" s="67">
        <f>SUM(AH120:AH136)</f>
        <v>0</v>
      </c>
      <c r="AR119" s="67">
        <f>SUM(AI120:AI136)</f>
        <v>0</v>
      </c>
      <c r="AS119" s="67">
        <f>SUM(AJ120:AJ136)</f>
        <v>0</v>
      </c>
    </row>
    <row r="120" spans="1:74" x14ac:dyDescent="0.25">
      <c r="A120" s="92" t="s">
        <v>366</v>
      </c>
      <c r="B120" s="69" t="s">
        <v>869</v>
      </c>
      <c r="C120" s="306" t="s">
        <v>870</v>
      </c>
      <c r="D120" s="307"/>
      <c r="E120" s="69" t="s">
        <v>325</v>
      </c>
      <c r="F120" s="77">
        <v>1</v>
      </c>
      <c r="G120" s="218">
        <v>0</v>
      </c>
      <c r="H120" s="77">
        <f>F120*AM120</f>
        <v>0</v>
      </c>
      <c r="I120" s="77">
        <f>F120*AN120</f>
        <v>0</v>
      </c>
      <c r="J120" s="77">
        <f>F120*G120</f>
        <v>0</v>
      </c>
      <c r="K120" s="77">
        <v>0</v>
      </c>
      <c r="L120" s="77">
        <f>F120*K120</f>
        <v>0</v>
      </c>
      <c r="M120" s="103" t="s">
        <v>35</v>
      </c>
      <c r="X120" s="77">
        <f>IF(AO120="5",BH120,0)</f>
        <v>0</v>
      </c>
      <c r="Z120" s="77">
        <f>IF(AO120="1",BF120,0)</f>
        <v>0</v>
      </c>
      <c r="AA120" s="77">
        <f>IF(AO120="1",BG120,0)</f>
        <v>0</v>
      </c>
      <c r="AB120" s="77">
        <f>IF(AO120="7",BF120,0)</f>
        <v>0</v>
      </c>
      <c r="AC120" s="77">
        <f>IF(AO120="7",BG120,0)</f>
        <v>0</v>
      </c>
      <c r="AD120" s="77">
        <f>IF(AO120="2",BF120,0)</f>
        <v>0</v>
      </c>
      <c r="AE120" s="77">
        <f>IF(AO120="2",BG120,0)</f>
        <v>0</v>
      </c>
      <c r="AF120" s="77">
        <f>IF(AO120="0",BH120,0)</f>
        <v>0</v>
      </c>
      <c r="AG120" s="71" t="s">
        <v>129</v>
      </c>
      <c r="AH120" s="77">
        <f>IF(AL120=0,J120,0)</f>
        <v>0</v>
      </c>
      <c r="AI120" s="77">
        <f>IF(AL120=15,J120,0)</f>
        <v>0</v>
      </c>
      <c r="AJ120" s="77">
        <f>IF(AL120=21,J120,0)</f>
        <v>0</v>
      </c>
      <c r="AL120" s="77">
        <v>15</v>
      </c>
      <c r="AM120" s="77">
        <f>G120*0</f>
        <v>0</v>
      </c>
      <c r="AN120" s="77">
        <f>G120*(1-0)</f>
        <v>0</v>
      </c>
      <c r="AO120" s="79" t="s">
        <v>132</v>
      </c>
      <c r="AT120" s="77">
        <f>AU120+AV120</f>
        <v>0</v>
      </c>
      <c r="AU120" s="77">
        <f>F120*AM120</f>
        <v>0</v>
      </c>
      <c r="AV120" s="77">
        <f>F120*AN120</f>
        <v>0</v>
      </c>
      <c r="AW120" s="79" t="s">
        <v>340</v>
      </c>
      <c r="AX120" s="79" t="s">
        <v>320</v>
      </c>
      <c r="AY120" s="71" t="s">
        <v>137</v>
      </c>
      <c r="BA120" s="77">
        <f>AU120+AV120</f>
        <v>0</v>
      </c>
      <c r="BB120" s="77">
        <f>G120/(100-BC120)*100</f>
        <v>0</v>
      </c>
      <c r="BC120" s="77">
        <v>0</v>
      </c>
      <c r="BD120" s="77">
        <f>L120</f>
        <v>0</v>
      </c>
      <c r="BF120" s="77">
        <f>F120*AM120</f>
        <v>0</v>
      </c>
      <c r="BG120" s="77">
        <f>F120*AN120</f>
        <v>0</v>
      </c>
      <c r="BH120" s="77">
        <f>F120*G120</f>
        <v>0</v>
      </c>
      <c r="BI120" s="77"/>
      <c r="BJ120" s="77">
        <v>89</v>
      </c>
      <c r="BU120" s="77" t="e">
        <f>#REF!</f>
        <v>#REF!</v>
      </c>
      <c r="BV120" s="70" t="s">
        <v>870</v>
      </c>
    </row>
    <row r="121" spans="1:74" ht="13.5" customHeight="1" x14ac:dyDescent="0.25">
      <c r="A121" s="104"/>
      <c r="B121" s="81" t="s">
        <v>138</v>
      </c>
      <c r="C121" s="303" t="s">
        <v>871</v>
      </c>
      <c r="D121" s="304"/>
      <c r="E121" s="304"/>
      <c r="F121" s="304"/>
      <c r="G121" s="304"/>
      <c r="H121" s="304"/>
      <c r="I121" s="304"/>
      <c r="J121" s="304"/>
      <c r="K121" s="304"/>
      <c r="L121" s="304"/>
      <c r="M121" s="305"/>
    </row>
    <row r="122" spans="1:74" x14ac:dyDescent="0.25">
      <c r="A122" s="92" t="s">
        <v>370</v>
      </c>
      <c r="B122" s="69" t="s">
        <v>347</v>
      </c>
      <c r="C122" s="306" t="s">
        <v>348</v>
      </c>
      <c r="D122" s="307"/>
      <c r="E122" s="69" t="s">
        <v>325</v>
      </c>
      <c r="F122" s="77">
        <v>1</v>
      </c>
      <c r="G122" s="218">
        <v>0</v>
      </c>
      <c r="H122" s="77">
        <f>F122*AM122</f>
        <v>0</v>
      </c>
      <c r="I122" s="77">
        <f>F122*AN122</f>
        <v>0</v>
      </c>
      <c r="J122" s="77">
        <f>F122*G122</f>
        <v>0</v>
      </c>
      <c r="K122" s="77">
        <v>0</v>
      </c>
      <c r="L122" s="77">
        <f>F122*K122</f>
        <v>0</v>
      </c>
      <c r="M122" s="103" t="s">
        <v>35</v>
      </c>
      <c r="X122" s="77">
        <f>IF(AO122="5",BH122,0)</f>
        <v>0</v>
      </c>
      <c r="Z122" s="77">
        <f>IF(AO122="1",BF122,0)</f>
        <v>0</v>
      </c>
      <c r="AA122" s="77">
        <f>IF(AO122="1",BG122,0)</f>
        <v>0</v>
      </c>
      <c r="AB122" s="77">
        <f>IF(AO122="7",BF122,0)</f>
        <v>0</v>
      </c>
      <c r="AC122" s="77">
        <f>IF(AO122="7",BG122,0)</f>
        <v>0</v>
      </c>
      <c r="AD122" s="77">
        <f>IF(AO122="2",BF122,0)</f>
        <v>0</v>
      </c>
      <c r="AE122" s="77">
        <f>IF(AO122="2",BG122,0)</f>
        <v>0</v>
      </c>
      <c r="AF122" s="77">
        <f>IF(AO122="0",BH122,0)</f>
        <v>0</v>
      </c>
      <c r="AG122" s="71" t="s">
        <v>129</v>
      </c>
      <c r="AH122" s="77">
        <f>IF(AL122=0,J122,0)</f>
        <v>0</v>
      </c>
      <c r="AI122" s="77">
        <f>IF(AL122=15,J122,0)</f>
        <v>0</v>
      </c>
      <c r="AJ122" s="77">
        <f>IF(AL122=21,J122,0)</f>
        <v>0</v>
      </c>
      <c r="AL122" s="77">
        <v>15</v>
      </c>
      <c r="AM122" s="77">
        <f>G122*0</f>
        <v>0</v>
      </c>
      <c r="AN122" s="77">
        <f>G122*(1-0)</f>
        <v>0</v>
      </c>
      <c r="AO122" s="79" t="s">
        <v>132</v>
      </c>
      <c r="AT122" s="77">
        <f>AU122+AV122</f>
        <v>0</v>
      </c>
      <c r="AU122" s="77">
        <f>F122*AM122</f>
        <v>0</v>
      </c>
      <c r="AV122" s="77">
        <f>F122*AN122</f>
        <v>0</v>
      </c>
      <c r="AW122" s="79" t="s">
        <v>340</v>
      </c>
      <c r="AX122" s="79" t="s">
        <v>320</v>
      </c>
      <c r="AY122" s="71" t="s">
        <v>137</v>
      </c>
      <c r="BA122" s="77">
        <f>AU122+AV122</f>
        <v>0</v>
      </c>
      <c r="BB122" s="77">
        <f>G122/(100-BC122)*100</f>
        <v>0</v>
      </c>
      <c r="BC122" s="77">
        <v>0</v>
      </c>
      <c r="BD122" s="77">
        <f>L122</f>
        <v>0</v>
      </c>
      <c r="BF122" s="77">
        <f>F122*AM122</f>
        <v>0</v>
      </c>
      <c r="BG122" s="77">
        <f>F122*AN122</f>
        <v>0</v>
      </c>
      <c r="BH122" s="77">
        <f>F122*G122</f>
        <v>0</v>
      </c>
      <c r="BI122" s="77"/>
      <c r="BJ122" s="77">
        <v>89</v>
      </c>
      <c r="BU122" s="77" t="e">
        <f>#REF!</f>
        <v>#REF!</v>
      </c>
      <c r="BV122" s="70" t="s">
        <v>348</v>
      </c>
    </row>
    <row r="123" spans="1:74" ht="13.5" customHeight="1" x14ac:dyDescent="0.25">
      <c r="A123" s="104"/>
      <c r="B123" s="81" t="s">
        <v>138</v>
      </c>
      <c r="C123" s="303" t="s">
        <v>349</v>
      </c>
      <c r="D123" s="304"/>
      <c r="E123" s="304"/>
      <c r="F123" s="304"/>
      <c r="G123" s="304"/>
      <c r="H123" s="304"/>
      <c r="I123" s="304"/>
      <c r="J123" s="304"/>
      <c r="K123" s="304"/>
      <c r="L123" s="304"/>
      <c r="M123" s="305"/>
    </row>
    <row r="124" spans="1:74" x14ac:dyDescent="0.25">
      <c r="A124" s="92" t="s">
        <v>374</v>
      </c>
      <c r="B124" s="69" t="s">
        <v>350</v>
      </c>
      <c r="C124" s="306" t="s">
        <v>351</v>
      </c>
      <c r="D124" s="307"/>
      <c r="E124" s="69" t="s">
        <v>325</v>
      </c>
      <c r="F124" s="77">
        <v>1</v>
      </c>
      <c r="G124" s="218">
        <v>0</v>
      </c>
      <c r="H124" s="77">
        <f>F124*AM124</f>
        <v>0</v>
      </c>
      <c r="I124" s="77">
        <f>F124*AN124</f>
        <v>0</v>
      </c>
      <c r="J124" s="77">
        <f>F124*G124</f>
        <v>0</v>
      </c>
      <c r="K124" s="77">
        <v>0</v>
      </c>
      <c r="L124" s="77">
        <f>F124*K124</f>
        <v>0</v>
      </c>
      <c r="M124" s="103" t="s">
        <v>35</v>
      </c>
      <c r="X124" s="77">
        <f>IF(AO124="5",BH124,0)</f>
        <v>0</v>
      </c>
      <c r="Z124" s="77">
        <f>IF(AO124="1",BF124,0)</f>
        <v>0</v>
      </c>
      <c r="AA124" s="77">
        <f>IF(AO124="1",BG124,0)</f>
        <v>0</v>
      </c>
      <c r="AB124" s="77">
        <f>IF(AO124="7",BF124,0)</f>
        <v>0</v>
      </c>
      <c r="AC124" s="77">
        <f>IF(AO124="7",BG124,0)</f>
        <v>0</v>
      </c>
      <c r="AD124" s="77">
        <f>IF(AO124="2",BF124,0)</f>
        <v>0</v>
      </c>
      <c r="AE124" s="77">
        <f>IF(AO124="2",BG124,0)</f>
        <v>0</v>
      </c>
      <c r="AF124" s="77">
        <f>IF(AO124="0",BH124,0)</f>
        <v>0</v>
      </c>
      <c r="AG124" s="71" t="s">
        <v>129</v>
      </c>
      <c r="AH124" s="77">
        <f>IF(AL124=0,J124,0)</f>
        <v>0</v>
      </c>
      <c r="AI124" s="77">
        <f>IF(AL124=15,J124,0)</f>
        <v>0</v>
      </c>
      <c r="AJ124" s="77">
        <f>IF(AL124=21,J124,0)</f>
        <v>0</v>
      </c>
      <c r="AL124" s="77">
        <v>15</v>
      </c>
      <c r="AM124" s="77">
        <f>G124*0</f>
        <v>0</v>
      </c>
      <c r="AN124" s="77">
        <f>G124*(1-0)</f>
        <v>0</v>
      </c>
      <c r="AO124" s="79" t="s">
        <v>132</v>
      </c>
      <c r="AT124" s="77">
        <f>AU124+AV124</f>
        <v>0</v>
      </c>
      <c r="AU124" s="77">
        <f>F124*AM124</f>
        <v>0</v>
      </c>
      <c r="AV124" s="77">
        <f>F124*AN124</f>
        <v>0</v>
      </c>
      <c r="AW124" s="79" t="s">
        <v>340</v>
      </c>
      <c r="AX124" s="79" t="s">
        <v>320</v>
      </c>
      <c r="AY124" s="71" t="s">
        <v>137</v>
      </c>
      <c r="BA124" s="77">
        <f>AU124+AV124</f>
        <v>0</v>
      </c>
      <c r="BB124" s="77">
        <f>G124/(100-BC124)*100</f>
        <v>0</v>
      </c>
      <c r="BC124" s="77">
        <v>0</v>
      </c>
      <c r="BD124" s="77">
        <f>L124</f>
        <v>0</v>
      </c>
      <c r="BF124" s="77">
        <f>F124*AM124</f>
        <v>0</v>
      </c>
      <c r="BG124" s="77">
        <f>F124*AN124</f>
        <v>0</v>
      </c>
      <c r="BH124" s="77">
        <f>F124*G124</f>
        <v>0</v>
      </c>
      <c r="BI124" s="77"/>
      <c r="BJ124" s="77">
        <v>89</v>
      </c>
      <c r="BU124" s="77" t="e">
        <f>#REF!</f>
        <v>#REF!</v>
      </c>
      <c r="BV124" s="70" t="s">
        <v>351</v>
      </c>
    </row>
    <row r="125" spans="1:74" ht="13.5" customHeight="1" x14ac:dyDescent="0.25">
      <c r="A125" s="104"/>
      <c r="B125" s="81" t="s">
        <v>138</v>
      </c>
      <c r="C125" s="303" t="s">
        <v>352</v>
      </c>
      <c r="D125" s="304"/>
      <c r="E125" s="304"/>
      <c r="F125" s="304"/>
      <c r="G125" s="304"/>
      <c r="H125" s="304"/>
      <c r="I125" s="304"/>
      <c r="J125" s="304"/>
      <c r="K125" s="304"/>
      <c r="L125" s="304"/>
      <c r="M125" s="305"/>
    </row>
    <row r="126" spans="1:74" x14ac:dyDescent="0.25">
      <c r="A126" s="92" t="s">
        <v>380</v>
      </c>
      <c r="B126" s="69" t="s">
        <v>354</v>
      </c>
      <c r="C126" s="306" t="s">
        <v>355</v>
      </c>
      <c r="D126" s="307"/>
      <c r="E126" s="69" t="s">
        <v>325</v>
      </c>
      <c r="F126" s="77">
        <v>1</v>
      </c>
      <c r="G126" s="218">
        <v>0</v>
      </c>
      <c r="H126" s="77">
        <f>F126*AM126</f>
        <v>0</v>
      </c>
      <c r="I126" s="77">
        <f>F126*AN126</f>
        <v>0</v>
      </c>
      <c r="J126" s="77">
        <f>F126*G126</f>
        <v>0</v>
      </c>
      <c r="K126" s="77">
        <v>1.17E-2</v>
      </c>
      <c r="L126" s="77">
        <f>F126*K126</f>
        <v>1.17E-2</v>
      </c>
      <c r="M126" s="103" t="s">
        <v>35</v>
      </c>
      <c r="X126" s="77">
        <f>IF(AO126="5",BH126,0)</f>
        <v>0</v>
      </c>
      <c r="Z126" s="77">
        <f>IF(AO126="1",BF126,0)</f>
        <v>0</v>
      </c>
      <c r="AA126" s="77">
        <f>IF(AO126="1",BG126,0)</f>
        <v>0</v>
      </c>
      <c r="AB126" s="77">
        <f>IF(AO126="7",BF126,0)</f>
        <v>0</v>
      </c>
      <c r="AC126" s="77">
        <f>IF(AO126="7",BG126,0)</f>
        <v>0</v>
      </c>
      <c r="AD126" s="77">
        <f>IF(AO126="2",BF126,0)</f>
        <v>0</v>
      </c>
      <c r="AE126" s="77">
        <f>IF(AO126="2",BG126,0)</f>
        <v>0</v>
      </c>
      <c r="AF126" s="77">
        <f>IF(AO126="0",BH126,0)</f>
        <v>0</v>
      </c>
      <c r="AG126" s="71" t="s">
        <v>129</v>
      </c>
      <c r="AH126" s="77">
        <f>IF(AL126=0,J126,0)</f>
        <v>0</v>
      </c>
      <c r="AI126" s="77">
        <f>IF(AL126=15,J126,0)</f>
        <v>0</v>
      </c>
      <c r="AJ126" s="77">
        <f>IF(AL126=21,J126,0)</f>
        <v>0</v>
      </c>
      <c r="AL126" s="77">
        <v>15</v>
      </c>
      <c r="AM126" s="77">
        <f>G126*0.016176471</f>
        <v>0</v>
      </c>
      <c r="AN126" s="77">
        <f>G126*(1-0.016176471)</f>
        <v>0</v>
      </c>
      <c r="AO126" s="79" t="s">
        <v>132</v>
      </c>
      <c r="AT126" s="77">
        <f>AU126+AV126</f>
        <v>0</v>
      </c>
      <c r="AU126" s="77">
        <f>F126*AM126</f>
        <v>0</v>
      </c>
      <c r="AV126" s="77">
        <f>F126*AN126</f>
        <v>0</v>
      </c>
      <c r="AW126" s="79" t="s">
        <v>340</v>
      </c>
      <c r="AX126" s="79" t="s">
        <v>320</v>
      </c>
      <c r="AY126" s="71" t="s">
        <v>137</v>
      </c>
      <c r="BA126" s="77">
        <f>AU126+AV126</f>
        <v>0</v>
      </c>
      <c r="BB126" s="77">
        <f>G126/(100-BC126)*100</f>
        <v>0</v>
      </c>
      <c r="BC126" s="77">
        <v>0</v>
      </c>
      <c r="BD126" s="77">
        <f>L126</f>
        <v>1.17E-2</v>
      </c>
      <c r="BF126" s="77">
        <f>F126*AM126</f>
        <v>0</v>
      </c>
      <c r="BG126" s="77">
        <f>F126*AN126</f>
        <v>0</v>
      </c>
      <c r="BH126" s="77">
        <f>F126*G126</f>
        <v>0</v>
      </c>
      <c r="BI126" s="77"/>
      <c r="BJ126" s="77">
        <v>89</v>
      </c>
      <c r="BU126" s="77" t="e">
        <f>#REF!</f>
        <v>#REF!</v>
      </c>
      <c r="BV126" s="70" t="s">
        <v>355</v>
      </c>
    </row>
    <row r="127" spans="1:74" ht="13.5" customHeight="1" x14ac:dyDescent="0.25">
      <c r="A127" s="104"/>
      <c r="B127" s="81" t="s">
        <v>138</v>
      </c>
      <c r="C127" s="303" t="s">
        <v>356</v>
      </c>
      <c r="D127" s="304"/>
      <c r="E127" s="304"/>
      <c r="F127" s="304"/>
      <c r="G127" s="304"/>
      <c r="H127" s="304"/>
      <c r="I127" s="304"/>
      <c r="J127" s="304"/>
      <c r="K127" s="304"/>
      <c r="L127" s="304"/>
      <c r="M127" s="305"/>
    </row>
    <row r="128" spans="1:74" x14ac:dyDescent="0.25">
      <c r="A128" s="92" t="s">
        <v>388</v>
      </c>
      <c r="B128" s="69" t="s">
        <v>358</v>
      </c>
      <c r="C128" s="306" t="s">
        <v>359</v>
      </c>
      <c r="D128" s="307"/>
      <c r="E128" s="69" t="s">
        <v>145</v>
      </c>
      <c r="F128" s="77">
        <v>8.5</v>
      </c>
      <c r="G128" s="218">
        <v>0</v>
      </c>
      <c r="H128" s="77">
        <f>F128*AM128</f>
        <v>0</v>
      </c>
      <c r="I128" s="77">
        <f>F128*AN128</f>
        <v>0</v>
      </c>
      <c r="J128" s="77">
        <f>F128*G128</f>
        <v>0</v>
      </c>
      <c r="K128" s="77">
        <v>0</v>
      </c>
      <c r="L128" s="77">
        <f>F128*K128</f>
        <v>0</v>
      </c>
      <c r="M128" s="103" t="s">
        <v>35</v>
      </c>
      <c r="X128" s="77">
        <f>IF(AO128="5",BH128,0)</f>
        <v>0</v>
      </c>
      <c r="Z128" s="77">
        <f>IF(AO128="1",BF128,0)</f>
        <v>0</v>
      </c>
      <c r="AA128" s="77">
        <f>IF(AO128="1",BG128,0)</f>
        <v>0</v>
      </c>
      <c r="AB128" s="77">
        <f>IF(AO128="7",BF128,0)</f>
        <v>0</v>
      </c>
      <c r="AC128" s="77">
        <f>IF(AO128="7",BG128,0)</f>
        <v>0</v>
      </c>
      <c r="AD128" s="77">
        <f>IF(AO128="2",BF128,0)</f>
        <v>0</v>
      </c>
      <c r="AE128" s="77">
        <f>IF(AO128="2",BG128,0)</f>
        <v>0</v>
      </c>
      <c r="AF128" s="77">
        <f>IF(AO128="0",BH128,0)</f>
        <v>0</v>
      </c>
      <c r="AG128" s="71" t="s">
        <v>129</v>
      </c>
      <c r="AH128" s="77">
        <f>IF(AL128=0,J128,0)</f>
        <v>0</v>
      </c>
      <c r="AI128" s="77">
        <f>IF(AL128=15,J128,0)</f>
        <v>0</v>
      </c>
      <c r="AJ128" s="77">
        <f>IF(AL128=21,J128,0)</f>
        <v>0</v>
      </c>
      <c r="AL128" s="77">
        <v>15</v>
      </c>
      <c r="AM128" s="77">
        <f>G128*0.006815287</f>
        <v>0</v>
      </c>
      <c r="AN128" s="77">
        <f>G128*(1-0.006815287)</f>
        <v>0</v>
      </c>
      <c r="AO128" s="79" t="s">
        <v>132</v>
      </c>
      <c r="AT128" s="77">
        <f>AU128+AV128</f>
        <v>0</v>
      </c>
      <c r="AU128" s="77">
        <f>F128*AM128</f>
        <v>0</v>
      </c>
      <c r="AV128" s="77">
        <f>F128*AN128</f>
        <v>0</v>
      </c>
      <c r="AW128" s="79" t="s">
        <v>340</v>
      </c>
      <c r="AX128" s="79" t="s">
        <v>320</v>
      </c>
      <c r="AY128" s="71" t="s">
        <v>137</v>
      </c>
      <c r="BA128" s="77">
        <f>AU128+AV128</f>
        <v>0</v>
      </c>
      <c r="BB128" s="77">
        <f>G128/(100-BC128)*100</f>
        <v>0</v>
      </c>
      <c r="BC128" s="77">
        <v>0</v>
      </c>
      <c r="BD128" s="77">
        <f>L128</f>
        <v>0</v>
      </c>
      <c r="BF128" s="77">
        <f>F128*AM128</f>
        <v>0</v>
      </c>
      <c r="BG128" s="77">
        <f>F128*AN128</f>
        <v>0</v>
      </c>
      <c r="BH128" s="77">
        <f>F128*G128</f>
        <v>0</v>
      </c>
      <c r="BI128" s="77"/>
      <c r="BJ128" s="77">
        <v>89</v>
      </c>
      <c r="BU128" s="77" t="e">
        <f>#REF!</f>
        <v>#REF!</v>
      </c>
      <c r="BV128" s="70" t="s">
        <v>359</v>
      </c>
    </row>
    <row r="129" spans="1:74" ht="40.5" customHeight="1" x14ac:dyDescent="0.25">
      <c r="A129" s="104"/>
      <c r="B129" s="81" t="s">
        <v>138</v>
      </c>
      <c r="C129" s="303" t="s">
        <v>872</v>
      </c>
      <c r="D129" s="304"/>
      <c r="E129" s="304"/>
      <c r="F129" s="304"/>
      <c r="G129" s="304"/>
      <c r="H129" s="304"/>
      <c r="I129" s="304"/>
      <c r="J129" s="304"/>
      <c r="K129" s="304"/>
      <c r="L129" s="304"/>
      <c r="M129" s="305"/>
    </row>
    <row r="130" spans="1:74" x14ac:dyDescent="0.25">
      <c r="A130" s="92" t="s">
        <v>392</v>
      </c>
      <c r="B130" s="69" t="s">
        <v>362</v>
      </c>
      <c r="C130" s="306" t="s">
        <v>363</v>
      </c>
      <c r="D130" s="307"/>
      <c r="E130" s="69" t="s">
        <v>364</v>
      </c>
      <c r="F130" s="77">
        <v>3</v>
      </c>
      <c r="G130" s="218">
        <v>0</v>
      </c>
      <c r="H130" s="77">
        <f>F130*AM130</f>
        <v>0</v>
      </c>
      <c r="I130" s="77">
        <f>F130*AN130</f>
        <v>0</v>
      </c>
      <c r="J130" s="77">
        <f>F130*G130</f>
        <v>0</v>
      </c>
      <c r="K130" s="77">
        <v>4.0999999999999999E-4</v>
      </c>
      <c r="L130" s="77">
        <f>F130*K130</f>
        <v>1.23E-3</v>
      </c>
      <c r="M130" s="103" t="s">
        <v>35</v>
      </c>
      <c r="X130" s="77">
        <f>IF(AO130="5",BH130,0)</f>
        <v>0</v>
      </c>
      <c r="Z130" s="77">
        <f>IF(AO130="1",BF130,0)</f>
        <v>0</v>
      </c>
      <c r="AA130" s="77">
        <f>IF(AO130="1",BG130,0)</f>
        <v>0</v>
      </c>
      <c r="AB130" s="77">
        <f>IF(AO130="7",BF130,0)</f>
        <v>0</v>
      </c>
      <c r="AC130" s="77">
        <f>IF(AO130="7",BG130,0)</f>
        <v>0</v>
      </c>
      <c r="AD130" s="77">
        <f>IF(AO130="2",BF130,0)</f>
        <v>0</v>
      </c>
      <c r="AE130" s="77">
        <f>IF(AO130="2",BG130,0)</f>
        <v>0</v>
      </c>
      <c r="AF130" s="77">
        <f>IF(AO130="0",BH130,0)</f>
        <v>0</v>
      </c>
      <c r="AG130" s="71" t="s">
        <v>129</v>
      </c>
      <c r="AH130" s="77">
        <f>IF(AL130=0,J130,0)</f>
        <v>0</v>
      </c>
      <c r="AI130" s="77">
        <f>IF(AL130=15,J130,0)</f>
        <v>0</v>
      </c>
      <c r="AJ130" s="77">
        <f>IF(AL130=21,J130,0)</f>
        <v>0</v>
      </c>
      <c r="AL130" s="77">
        <v>15</v>
      </c>
      <c r="AM130" s="77">
        <f>G130*0.118974717</f>
        <v>0</v>
      </c>
      <c r="AN130" s="77">
        <f>G130*(1-0.118974717)</f>
        <v>0</v>
      </c>
      <c r="AO130" s="79" t="s">
        <v>132</v>
      </c>
      <c r="AT130" s="77">
        <f>AU130+AV130</f>
        <v>0</v>
      </c>
      <c r="AU130" s="77">
        <f>F130*AM130</f>
        <v>0</v>
      </c>
      <c r="AV130" s="77">
        <f>F130*AN130</f>
        <v>0</v>
      </c>
      <c r="AW130" s="79" t="s">
        <v>340</v>
      </c>
      <c r="AX130" s="79" t="s">
        <v>320</v>
      </c>
      <c r="AY130" s="71" t="s">
        <v>137</v>
      </c>
      <c r="BA130" s="77">
        <f>AU130+AV130</f>
        <v>0</v>
      </c>
      <c r="BB130" s="77">
        <f>G130/(100-BC130)*100</f>
        <v>0</v>
      </c>
      <c r="BC130" s="77">
        <v>0</v>
      </c>
      <c r="BD130" s="77">
        <f>L130</f>
        <v>1.23E-3</v>
      </c>
      <c r="BF130" s="77">
        <f>F130*AM130</f>
        <v>0</v>
      </c>
      <c r="BG130" s="77">
        <f>F130*AN130</f>
        <v>0</v>
      </c>
      <c r="BH130" s="77">
        <f>F130*G130</f>
        <v>0</v>
      </c>
      <c r="BI130" s="77"/>
      <c r="BJ130" s="77">
        <v>89</v>
      </c>
      <c r="BU130" s="77" t="e">
        <f>#REF!</f>
        <v>#REF!</v>
      </c>
      <c r="BV130" s="70" t="s">
        <v>363</v>
      </c>
    </row>
    <row r="131" spans="1:74" ht="40.5" customHeight="1" x14ac:dyDescent="0.25">
      <c r="A131" s="104"/>
      <c r="B131" s="81" t="s">
        <v>138</v>
      </c>
      <c r="C131" s="303" t="s">
        <v>365</v>
      </c>
      <c r="D131" s="304"/>
      <c r="E131" s="304"/>
      <c r="F131" s="304"/>
      <c r="G131" s="304"/>
      <c r="H131" s="304"/>
      <c r="I131" s="304"/>
      <c r="J131" s="304"/>
      <c r="K131" s="304"/>
      <c r="L131" s="304"/>
      <c r="M131" s="305"/>
    </row>
    <row r="132" spans="1:74" x14ac:dyDescent="0.25">
      <c r="A132" s="92" t="s">
        <v>396</v>
      </c>
      <c r="B132" s="69" t="s">
        <v>367</v>
      </c>
      <c r="C132" s="306" t="s">
        <v>368</v>
      </c>
      <c r="D132" s="307"/>
      <c r="E132" s="69" t="s">
        <v>145</v>
      </c>
      <c r="F132" s="77">
        <v>7</v>
      </c>
      <c r="G132" s="218">
        <v>0</v>
      </c>
      <c r="H132" s="77">
        <f>F132*AM132</f>
        <v>0</v>
      </c>
      <c r="I132" s="77">
        <f>F132*AN132</f>
        <v>0</v>
      </c>
      <c r="J132" s="77">
        <f>F132*G132</f>
        <v>0</v>
      </c>
      <c r="K132" s="77">
        <v>0</v>
      </c>
      <c r="L132" s="77">
        <f>F132*K132</f>
        <v>0</v>
      </c>
      <c r="M132" s="103" t="s">
        <v>35</v>
      </c>
      <c r="X132" s="77">
        <f>IF(AO132="5",BH132,0)</f>
        <v>0</v>
      </c>
      <c r="Z132" s="77">
        <f>IF(AO132="1",BF132,0)</f>
        <v>0</v>
      </c>
      <c r="AA132" s="77">
        <f>IF(AO132="1",BG132,0)</f>
        <v>0</v>
      </c>
      <c r="AB132" s="77">
        <f>IF(AO132="7",BF132,0)</f>
        <v>0</v>
      </c>
      <c r="AC132" s="77">
        <f>IF(AO132="7",BG132,0)</f>
        <v>0</v>
      </c>
      <c r="AD132" s="77">
        <f>IF(AO132="2",BF132,0)</f>
        <v>0</v>
      </c>
      <c r="AE132" s="77">
        <f>IF(AO132="2",BG132,0)</f>
        <v>0</v>
      </c>
      <c r="AF132" s="77">
        <f>IF(AO132="0",BH132,0)</f>
        <v>0</v>
      </c>
      <c r="AG132" s="71" t="s">
        <v>129</v>
      </c>
      <c r="AH132" s="77">
        <f>IF(AL132=0,J132,0)</f>
        <v>0</v>
      </c>
      <c r="AI132" s="77">
        <f>IF(AL132=15,J132,0)</f>
        <v>0</v>
      </c>
      <c r="AJ132" s="77">
        <f>IF(AL132=21,J132,0)</f>
        <v>0</v>
      </c>
      <c r="AL132" s="77">
        <v>15</v>
      </c>
      <c r="AM132" s="77">
        <f>G132*0.090781563</f>
        <v>0</v>
      </c>
      <c r="AN132" s="77">
        <f>G132*(1-0.090781563)</f>
        <v>0</v>
      </c>
      <c r="AO132" s="79" t="s">
        <v>132</v>
      </c>
      <c r="AT132" s="77">
        <f>AU132+AV132</f>
        <v>0</v>
      </c>
      <c r="AU132" s="77">
        <f>F132*AM132</f>
        <v>0</v>
      </c>
      <c r="AV132" s="77">
        <f>F132*AN132</f>
        <v>0</v>
      </c>
      <c r="AW132" s="79" t="s">
        <v>340</v>
      </c>
      <c r="AX132" s="79" t="s">
        <v>320</v>
      </c>
      <c r="AY132" s="71" t="s">
        <v>137</v>
      </c>
      <c r="BA132" s="77">
        <f>AU132+AV132</f>
        <v>0</v>
      </c>
      <c r="BB132" s="77">
        <f>G132/(100-BC132)*100</f>
        <v>0</v>
      </c>
      <c r="BC132" s="77">
        <v>0</v>
      </c>
      <c r="BD132" s="77">
        <f>L132</f>
        <v>0</v>
      </c>
      <c r="BF132" s="77">
        <f>F132*AM132</f>
        <v>0</v>
      </c>
      <c r="BG132" s="77">
        <f>F132*AN132</f>
        <v>0</v>
      </c>
      <c r="BH132" s="77">
        <f>F132*G132</f>
        <v>0</v>
      </c>
      <c r="BI132" s="77"/>
      <c r="BJ132" s="77">
        <v>89</v>
      </c>
      <c r="BU132" s="77" t="e">
        <f>#REF!</f>
        <v>#REF!</v>
      </c>
      <c r="BV132" s="70" t="s">
        <v>368</v>
      </c>
    </row>
    <row r="133" spans="1:74" ht="40.5" customHeight="1" x14ac:dyDescent="0.25">
      <c r="A133" s="104"/>
      <c r="B133" s="81" t="s">
        <v>138</v>
      </c>
      <c r="C133" s="303" t="s">
        <v>873</v>
      </c>
      <c r="D133" s="304"/>
      <c r="E133" s="304"/>
      <c r="F133" s="304"/>
      <c r="G133" s="304"/>
      <c r="H133" s="304"/>
      <c r="I133" s="304"/>
      <c r="J133" s="304"/>
      <c r="K133" s="304"/>
      <c r="L133" s="304"/>
      <c r="M133" s="305"/>
    </row>
    <row r="134" spans="1:74" x14ac:dyDescent="0.25">
      <c r="A134" s="92" t="s">
        <v>296</v>
      </c>
      <c r="B134" s="69" t="s">
        <v>874</v>
      </c>
      <c r="C134" s="306" t="s">
        <v>875</v>
      </c>
      <c r="D134" s="307"/>
      <c r="E134" s="69" t="s">
        <v>145</v>
      </c>
      <c r="F134" s="77">
        <v>8.5</v>
      </c>
      <c r="G134" s="218">
        <v>0</v>
      </c>
      <c r="H134" s="77">
        <f>F134*AM134</f>
        <v>0</v>
      </c>
      <c r="I134" s="77">
        <f>F134*AN134</f>
        <v>0</v>
      </c>
      <c r="J134" s="77">
        <f>F134*G134</f>
        <v>0</v>
      </c>
      <c r="K134" s="77">
        <v>0</v>
      </c>
      <c r="L134" s="77">
        <f>F134*K134</f>
        <v>0</v>
      </c>
      <c r="M134" s="103" t="s">
        <v>35</v>
      </c>
      <c r="X134" s="77">
        <f>IF(AO134="5",BH134,0)</f>
        <v>0</v>
      </c>
      <c r="Z134" s="77">
        <f>IF(AO134="1",BF134,0)</f>
        <v>0</v>
      </c>
      <c r="AA134" s="77">
        <f>IF(AO134="1",BG134,0)</f>
        <v>0</v>
      </c>
      <c r="AB134" s="77">
        <f>IF(AO134="7",BF134,0)</f>
        <v>0</v>
      </c>
      <c r="AC134" s="77">
        <f>IF(AO134="7",BG134,0)</f>
        <v>0</v>
      </c>
      <c r="AD134" s="77">
        <f>IF(AO134="2",BF134,0)</f>
        <v>0</v>
      </c>
      <c r="AE134" s="77">
        <f>IF(AO134="2",BG134,0)</f>
        <v>0</v>
      </c>
      <c r="AF134" s="77">
        <f>IF(AO134="0",BH134,0)</f>
        <v>0</v>
      </c>
      <c r="AG134" s="71" t="s">
        <v>129</v>
      </c>
      <c r="AH134" s="77">
        <f>IF(AL134=0,J134,0)</f>
        <v>0</v>
      </c>
      <c r="AI134" s="77">
        <f>IF(AL134=15,J134,0)</f>
        <v>0</v>
      </c>
      <c r="AJ134" s="77">
        <f>IF(AL134=21,J134,0)</f>
        <v>0</v>
      </c>
      <c r="AL134" s="77">
        <v>15</v>
      </c>
      <c r="AM134" s="77">
        <f>G134*0</f>
        <v>0</v>
      </c>
      <c r="AN134" s="77">
        <f>G134*(1-0)</f>
        <v>0</v>
      </c>
      <c r="AO134" s="79" t="s">
        <v>132</v>
      </c>
      <c r="AT134" s="77">
        <f>AU134+AV134</f>
        <v>0</v>
      </c>
      <c r="AU134" s="77">
        <f>F134*AM134</f>
        <v>0</v>
      </c>
      <c r="AV134" s="77">
        <f>F134*AN134</f>
        <v>0</v>
      </c>
      <c r="AW134" s="79" t="s">
        <v>340</v>
      </c>
      <c r="AX134" s="79" t="s">
        <v>320</v>
      </c>
      <c r="AY134" s="71" t="s">
        <v>137</v>
      </c>
      <c r="BA134" s="77">
        <f>AU134+AV134</f>
        <v>0</v>
      </c>
      <c r="BB134" s="77">
        <f>G134/(100-BC134)*100</f>
        <v>0</v>
      </c>
      <c r="BC134" s="77">
        <v>0</v>
      </c>
      <c r="BD134" s="77">
        <f>L134</f>
        <v>0</v>
      </c>
      <c r="BF134" s="77">
        <f>F134*AM134</f>
        <v>0</v>
      </c>
      <c r="BG134" s="77">
        <f>F134*AN134</f>
        <v>0</v>
      </c>
      <c r="BH134" s="77">
        <f>F134*G134</f>
        <v>0</v>
      </c>
      <c r="BI134" s="77"/>
      <c r="BJ134" s="77">
        <v>89</v>
      </c>
      <c r="BU134" s="77" t="e">
        <f>#REF!</f>
        <v>#REF!</v>
      </c>
      <c r="BV134" s="70" t="s">
        <v>875</v>
      </c>
    </row>
    <row r="135" spans="1:74" ht="40.5" customHeight="1" x14ac:dyDescent="0.25">
      <c r="A135" s="104"/>
      <c r="B135" s="81" t="s">
        <v>138</v>
      </c>
      <c r="C135" s="303" t="s">
        <v>876</v>
      </c>
      <c r="D135" s="304"/>
      <c r="E135" s="304"/>
      <c r="F135" s="304"/>
      <c r="G135" s="304"/>
      <c r="H135" s="304"/>
      <c r="I135" s="304"/>
      <c r="J135" s="304"/>
      <c r="K135" s="304"/>
      <c r="L135" s="304"/>
      <c r="M135" s="305"/>
    </row>
    <row r="136" spans="1:74" x14ac:dyDescent="0.25">
      <c r="A136" s="92" t="s">
        <v>403</v>
      </c>
      <c r="B136" s="69" t="s">
        <v>375</v>
      </c>
      <c r="C136" s="306" t="s">
        <v>376</v>
      </c>
      <c r="D136" s="307"/>
      <c r="E136" s="69" t="s">
        <v>145</v>
      </c>
      <c r="F136" s="77">
        <v>9.35</v>
      </c>
      <c r="G136" s="218">
        <v>0</v>
      </c>
      <c r="H136" s="77">
        <f>F136*AM136</f>
        <v>0</v>
      </c>
      <c r="I136" s="77">
        <f>F136*AN136</f>
        <v>0</v>
      </c>
      <c r="J136" s="77">
        <f>F136*G136</f>
        <v>0</v>
      </c>
      <c r="K136" s="77">
        <v>0</v>
      </c>
      <c r="L136" s="77">
        <f>F136*K136</f>
        <v>0</v>
      </c>
      <c r="M136" s="103" t="s">
        <v>35</v>
      </c>
      <c r="X136" s="77">
        <f>IF(AO136="5",BH136,0)</f>
        <v>0</v>
      </c>
      <c r="Z136" s="77">
        <f>IF(AO136="1",BF136,0)</f>
        <v>0</v>
      </c>
      <c r="AA136" s="77">
        <f>IF(AO136="1",BG136,0)</f>
        <v>0</v>
      </c>
      <c r="AB136" s="77">
        <f>IF(AO136="7",BF136,0)</f>
        <v>0</v>
      </c>
      <c r="AC136" s="77">
        <f>IF(AO136="7",BG136,0)</f>
        <v>0</v>
      </c>
      <c r="AD136" s="77">
        <f>IF(AO136="2",BF136,0)</f>
        <v>0</v>
      </c>
      <c r="AE136" s="77">
        <f>IF(AO136="2",BG136,0)</f>
        <v>0</v>
      </c>
      <c r="AF136" s="77">
        <f>IF(AO136="0",BH136,0)</f>
        <v>0</v>
      </c>
      <c r="AG136" s="71" t="s">
        <v>129</v>
      </c>
      <c r="AH136" s="77">
        <f>IF(AL136=0,J136,0)</f>
        <v>0</v>
      </c>
      <c r="AI136" s="77">
        <f>IF(AL136=15,J136,0)</f>
        <v>0</v>
      </c>
      <c r="AJ136" s="77">
        <f>IF(AL136=21,J136,0)</f>
        <v>0</v>
      </c>
      <c r="AL136" s="77">
        <v>15</v>
      </c>
      <c r="AM136" s="77">
        <f>G136*0.352685076</f>
        <v>0</v>
      </c>
      <c r="AN136" s="77">
        <f>G136*(1-0.352685076)</f>
        <v>0</v>
      </c>
      <c r="AO136" s="79" t="s">
        <v>132</v>
      </c>
      <c r="AT136" s="77">
        <f>AU136+AV136</f>
        <v>0</v>
      </c>
      <c r="AU136" s="77">
        <f>F136*AM136</f>
        <v>0</v>
      </c>
      <c r="AV136" s="77">
        <f>F136*AN136</f>
        <v>0</v>
      </c>
      <c r="AW136" s="79" t="s">
        <v>340</v>
      </c>
      <c r="AX136" s="79" t="s">
        <v>320</v>
      </c>
      <c r="AY136" s="71" t="s">
        <v>137</v>
      </c>
      <c r="BA136" s="77">
        <f>AU136+AV136</f>
        <v>0</v>
      </c>
      <c r="BB136" s="77">
        <f>G136/(100-BC136)*100</f>
        <v>0</v>
      </c>
      <c r="BC136" s="77">
        <v>0</v>
      </c>
      <c r="BD136" s="77">
        <f>L136</f>
        <v>0</v>
      </c>
      <c r="BF136" s="77">
        <f>F136*AM136</f>
        <v>0</v>
      </c>
      <c r="BG136" s="77">
        <f>F136*AN136</f>
        <v>0</v>
      </c>
      <c r="BH136" s="77">
        <f>F136*G136</f>
        <v>0</v>
      </c>
      <c r="BI136" s="77"/>
      <c r="BJ136" s="77">
        <v>89</v>
      </c>
      <c r="BU136" s="77" t="e">
        <f>#REF!</f>
        <v>#REF!</v>
      </c>
      <c r="BV136" s="70" t="s">
        <v>376</v>
      </c>
    </row>
    <row r="137" spans="1:74" ht="40.5" customHeight="1" x14ac:dyDescent="0.25">
      <c r="A137" s="104"/>
      <c r="B137" s="81" t="s">
        <v>138</v>
      </c>
      <c r="C137" s="303" t="s">
        <v>877</v>
      </c>
      <c r="D137" s="304"/>
      <c r="E137" s="304"/>
      <c r="F137" s="304"/>
      <c r="G137" s="304"/>
      <c r="H137" s="304"/>
      <c r="I137" s="304"/>
      <c r="J137" s="304"/>
      <c r="K137" s="304"/>
      <c r="L137" s="304"/>
      <c r="M137" s="305"/>
    </row>
    <row r="138" spans="1:74" x14ac:dyDescent="0.25">
      <c r="A138" s="105" t="s">
        <v>129</v>
      </c>
      <c r="B138" s="74" t="s">
        <v>688</v>
      </c>
      <c r="C138" s="314" t="s">
        <v>878</v>
      </c>
      <c r="D138" s="315"/>
      <c r="E138" s="75" t="s">
        <v>87</v>
      </c>
      <c r="F138" s="75" t="s">
        <v>87</v>
      </c>
      <c r="G138" s="75" t="s">
        <v>87</v>
      </c>
      <c r="H138" s="67">
        <f>SUM(H139:H139)</f>
        <v>0</v>
      </c>
      <c r="I138" s="67">
        <f>SUM(I139:I139)</f>
        <v>0</v>
      </c>
      <c r="J138" s="67">
        <f>SUM(J139:J139)</f>
        <v>0</v>
      </c>
      <c r="K138" s="71" t="s">
        <v>129</v>
      </c>
      <c r="L138" s="67">
        <f>SUM(L139:L139)</f>
        <v>4.1393676999999993</v>
      </c>
      <c r="M138" s="106" t="s">
        <v>129</v>
      </c>
      <c r="AG138" s="71" t="s">
        <v>129</v>
      </c>
      <c r="AQ138" s="67">
        <f>SUM(AH139:AH139)</f>
        <v>0</v>
      </c>
      <c r="AR138" s="67">
        <f>SUM(AI139:AI139)</f>
        <v>0</v>
      </c>
      <c r="AS138" s="67">
        <f>SUM(AJ139:AJ139)</f>
        <v>0</v>
      </c>
    </row>
    <row r="139" spans="1:74" x14ac:dyDescent="0.25">
      <c r="A139" s="92" t="s">
        <v>407</v>
      </c>
      <c r="B139" s="69" t="s">
        <v>879</v>
      </c>
      <c r="C139" s="306" t="s">
        <v>880</v>
      </c>
      <c r="D139" s="307"/>
      <c r="E139" s="69" t="s">
        <v>177</v>
      </c>
      <c r="F139" s="77">
        <v>1.69</v>
      </c>
      <c r="G139" s="218">
        <v>0</v>
      </c>
      <c r="H139" s="77">
        <f>F139*AM139</f>
        <v>0</v>
      </c>
      <c r="I139" s="77">
        <f>F139*AN139</f>
        <v>0</v>
      </c>
      <c r="J139" s="77">
        <f>F139*G139</f>
        <v>0</v>
      </c>
      <c r="K139" s="77">
        <v>2.4493299999999998</v>
      </c>
      <c r="L139" s="77">
        <f>F139*K139</f>
        <v>4.1393676999999993</v>
      </c>
      <c r="M139" s="103" t="s">
        <v>35</v>
      </c>
      <c r="X139" s="77">
        <f>IF(AO139="5",BH139,0)</f>
        <v>0</v>
      </c>
      <c r="Z139" s="77">
        <f>IF(AO139="1",BF139,0)</f>
        <v>0</v>
      </c>
      <c r="AA139" s="77">
        <f>IF(AO139="1",BG139,0)</f>
        <v>0</v>
      </c>
      <c r="AB139" s="77">
        <f>IF(AO139="7",BF139,0)</f>
        <v>0</v>
      </c>
      <c r="AC139" s="77">
        <f>IF(AO139="7",BG139,0)</f>
        <v>0</v>
      </c>
      <c r="AD139" s="77">
        <f>IF(AO139="2",BF139,0)</f>
        <v>0</v>
      </c>
      <c r="AE139" s="77">
        <f>IF(AO139="2",BG139,0)</f>
        <v>0</v>
      </c>
      <c r="AF139" s="77">
        <f>IF(AO139="0",BH139,0)</f>
        <v>0</v>
      </c>
      <c r="AG139" s="71" t="s">
        <v>129</v>
      </c>
      <c r="AH139" s="77">
        <f>IF(AL139=0,J139,0)</f>
        <v>0</v>
      </c>
      <c r="AI139" s="77">
        <f>IF(AL139=15,J139,0)</f>
        <v>0</v>
      </c>
      <c r="AJ139" s="77">
        <f>IF(AL139=21,J139,0)</f>
        <v>0</v>
      </c>
      <c r="AL139" s="77">
        <v>15</v>
      </c>
      <c r="AM139" s="77">
        <f>G139*0.069002819</f>
        <v>0</v>
      </c>
      <c r="AN139" s="77">
        <f>G139*(1-0.069002819)</f>
        <v>0</v>
      </c>
      <c r="AO139" s="79" t="s">
        <v>132</v>
      </c>
      <c r="AT139" s="77">
        <f>AU139+AV139</f>
        <v>0</v>
      </c>
      <c r="AU139" s="77">
        <f>F139*AM139</f>
        <v>0</v>
      </c>
      <c r="AV139" s="77">
        <f>F139*AN139</f>
        <v>0</v>
      </c>
      <c r="AW139" s="79" t="s">
        <v>881</v>
      </c>
      <c r="AX139" s="79" t="s">
        <v>384</v>
      </c>
      <c r="AY139" s="71" t="s">
        <v>137</v>
      </c>
      <c r="BA139" s="77">
        <f>AU139+AV139</f>
        <v>0</v>
      </c>
      <c r="BB139" s="77">
        <f>G139/(100-BC139)*100</f>
        <v>0</v>
      </c>
      <c r="BC139" s="77">
        <v>0</v>
      </c>
      <c r="BD139" s="77">
        <f>L139</f>
        <v>4.1393676999999993</v>
      </c>
      <c r="BF139" s="77">
        <f>F139*AM139</f>
        <v>0</v>
      </c>
      <c r="BG139" s="77">
        <f>F139*AN139</f>
        <v>0</v>
      </c>
      <c r="BH139" s="77">
        <f>F139*G139</f>
        <v>0</v>
      </c>
      <c r="BI139" s="77"/>
      <c r="BJ139" s="77">
        <v>96</v>
      </c>
      <c r="BU139" s="77" t="e">
        <f>#REF!</f>
        <v>#REF!</v>
      </c>
      <c r="BV139" s="70" t="s">
        <v>880</v>
      </c>
    </row>
    <row r="140" spans="1:74" ht="40.5" customHeight="1" x14ac:dyDescent="0.25">
      <c r="A140" s="104"/>
      <c r="B140" s="81" t="s">
        <v>138</v>
      </c>
      <c r="C140" s="303" t="s">
        <v>882</v>
      </c>
      <c r="D140" s="304"/>
      <c r="E140" s="304"/>
      <c r="F140" s="304"/>
      <c r="G140" s="304"/>
      <c r="H140" s="304"/>
      <c r="I140" s="304"/>
      <c r="J140" s="304"/>
      <c r="K140" s="304"/>
      <c r="L140" s="304"/>
      <c r="M140" s="305"/>
    </row>
    <row r="141" spans="1:74" x14ac:dyDescent="0.25">
      <c r="A141" s="105" t="s">
        <v>129</v>
      </c>
      <c r="B141" s="74" t="s">
        <v>378</v>
      </c>
      <c r="C141" s="314" t="s">
        <v>379</v>
      </c>
      <c r="D141" s="315"/>
      <c r="E141" s="75" t="s">
        <v>87</v>
      </c>
      <c r="F141" s="75" t="s">
        <v>87</v>
      </c>
      <c r="G141" s="75" t="s">
        <v>87</v>
      </c>
      <c r="H141" s="67">
        <f>SUM(H142:H142)</f>
        <v>0</v>
      </c>
      <c r="I141" s="67">
        <f>SUM(I142:I142)</f>
        <v>0</v>
      </c>
      <c r="J141" s="67">
        <f>SUM(J142:J142)</f>
        <v>0</v>
      </c>
      <c r="K141" s="71" t="s">
        <v>129</v>
      </c>
      <c r="L141" s="67">
        <f>SUM(L142:L142)</f>
        <v>0</v>
      </c>
      <c r="M141" s="106" t="s">
        <v>129</v>
      </c>
      <c r="AG141" s="71" t="s">
        <v>129</v>
      </c>
      <c r="AQ141" s="67">
        <f>SUM(AH142:AH142)</f>
        <v>0</v>
      </c>
      <c r="AR141" s="67">
        <f>SUM(AI142:AI142)</f>
        <v>0</v>
      </c>
      <c r="AS141" s="67">
        <f>SUM(AJ142:AJ142)</f>
        <v>0</v>
      </c>
    </row>
    <row r="142" spans="1:74" x14ac:dyDescent="0.25">
      <c r="A142" s="92" t="s">
        <v>410</v>
      </c>
      <c r="B142" s="69" t="s">
        <v>381</v>
      </c>
      <c r="C142" s="306" t="s">
        <v>382</v>
      </c>
      <c r="D142" s="307"/>
      <c r="E142" s="69" t="s">
        <v>281</v>
      </c>
      <c r="F142" s="77">
        <v>12.96</v>
      </c>
      <c r="G142" s="218">
        <v>0</v>
      </c>
      <c r="H142" s="77">
        <f>F142*AM142</f>
        <v>0</v>
      </c>
      <c r="I142" s="77">
        <f>F142*AN142</f>
        <v>0</v>
      </c>
      <c r="J142" s="77">
        <f>F142*G142</f>
        <v>0</v>
      </c>
      <c r="K142" s="77">
        <v>0</v>
      </c>
      <c r="L142" s="77">
        <f>F142*K142</f>
        <v>0</v>
      </c>
      <c r="M142" s="103" t="s">
        <v>35</v>
      </c>
      <c r="X142" s="77">
        <f>IF(AO142="5",BH142,0)</f>
        <v>0</v>
      </c>
      <c r="Z142" s="77">
        <f>IF(AO142="1",BF142,0)</f>
        <v>0</v>
      </c>
      <c r="AA142" s="77">
        <f>IF(AO142="1",BG142,0)</f>
        <v>0</v>
      </c>
      <c r="AB142" s="77">
        <f>IF(AO142="7",BF142,0)</f>
        <v>0</v>
      </c>
      <c r="AC142" s="77">
        <f>IF(AO142="7",BG142,0)</f>
        <v>0</v>
      </c>
      <c r="AD142" s="77">
        <f>IF(AO142="2",BF142,0)</f>
        <v>0</v>
      </c>
      <c r="AE142" s="77">
        <f>IF(AO142="2",BG142,0)</f>
        <v>0</v>
      </c>
      <c r="AF142" s="77">
        <f>IF(AO142="0",BH142,0)</f>
        <v>0</v>
      </c>
      <c r="AG142" s="71" t="s">
        <v>129</v>
      </c>
      <c r="AH142" s="77">
        <f>IF(AL142=0,J142,0)</f>
        <v>0</v>
      </c>
      <c r="AI142" s="77">
        <f>IF(AL142=15,J142,0)</f>
        <v>0</v>
      </c>
      <c r="AJ142" s="77">
        <f>IF(AL142=21,J142,0)</f>
        <v>0</v>
      </c>
      <c r="AL142" s="77">
        <v>15</v>
      </c>
      <c r="AM142" s="77">
        <f>G142*0</f>
        <v>0</v>
      </c>
      <c r="AN142" s="77">
        <f>G142*(1-0)</f>
        <v>0</v>
      </c>
      <c r="AO142" s="79" t="s">
        <v>132</v>
      </c>
      <c r="AT142" s="77">
        <f>AU142+AV142</f>
        <v>0</v>
      </c>
      <c r="AU142" s="77">
        <f>F142*AM142</f>
        <v>0</v>
      </c>
      <c r="AV142" s="77">
        <f>F142*AN142</f>
        <v>0</v>
      </c>
      <c r="AW142" s="79" t="s">
        <v>383</v>
      </c>
      <c r="AX142" s="79" t="s">
        <v>384</v>
      </c>
      <c r="AY142" s="71" t="s">
        <v>137</v>
      </c>
      <c r="BA142" s="77">
        <f>AU142+AV142</f>
        <v>0</v>
      </c>
      <c r="BB142" s="77">
        <f>G142/(100-BC142)*100</f>
        <v>0</v>
      </c>
      <c r="BC142" s="77">
        <v>0</v>
      </c>
      <c r="BD142" s="77">
        <f>L142</f>
        <v>0</v>
      </c>
      <c r="BF142" s="77">
        <f>F142*AM142</f>
        <v>0</v>
      </c>
      <c r="BG142" s="77">
        <f>F142*AN142</f>
        <v>0</v>
      </c>
      <c r="BH142" s="77">
        <f>F142*G142</f>
        <v>0</v>
      </c>
      <c r="BI142" s="77"/>
      <c r="BJ142" s="77">
        <v>97</v>
      </c>
      <c r="BU142" s="77" t="e">
        <f>#REF!</f>
        <v>#REF!</v>
      </c>
      <c r="BV142" s="70" t="s">
        <v>382</v>
      </c>
    </row>
    <row r="143" spans="1:74" ht="27" customHeight="1" x14ac:dyDescent="0.25">
      <c r="A143" s="104"/>
      <c r="B143" s="81" t="s">
        <v>138</v>
      </c>
      <c r="C143" s="303" t="s">
        <v>883</v>
      </c>
      <c r="D143" s="304"/>
      <c r="E143" s="304"/>
      <c r="F143" s="304"/>
      <c r="G143" s="304"/>
      <c r="H143" s="304"/>
      <c r="I143" s="304"/>
      <c r="J143" s="304"/>
      <c r="K143" s="304"/>
      <c r="L143" s="304"/>
      <c r="M143" s="305"/>
    </row>
    <row r="144" spans="1:74" x14ac:dyDescent="0.25">
      <c r="A144" s="105" t="s">
        <v>129</v>
      </c>
      <c r="B144" s="74" t="s">
        <v>386</v>
      </c>
      <c r="C144" s="314" t="s">
        <v>387</v>
      </c>
      <c r="D144" s="315"/>
      <c r="E144" s="75" t="s">
        <v>87</v>
      </c>
      <c r="F144" s="75" t="s">
        <v>87</v>
      </c>
      <c r="G144" s="75" t="s">
        <v>87</v>
      </c>
      <c r="H144" s="67">
        <f>SUM(H145:H150)</f>
        <v>0</v>
      </c>
      <c r="I144" s="67">
        <f>SUM(I145:I150)</f>
        <v>0</v>
      </c>
      <c r="J144" s="67">
        <f>SUM(J145:J150)</f>
        <v>0</v>
      </c>
      <c r="K144" s="71" t="s">
        <v>129</v>
      </c>
      <c r="L144" s="67">
        <f>SUM(L145:L150)</f>
        <v>0</v>
      </c>
      <c r="M144" s="106" t="s">
        <v>129</v>
      </c>
      <c r="AG144" s="71" t="s">
        <v>129</v>
      </c>
      <c r="AQ144" s="67">
        <f>SUM(AH145:AH150)</f>
        <v>0</v>
      </c>
      <c r="AR144" s="67">
        <f>SUM(AI145:AI150)</f>
        <v>0</v>
      </c>
      <c r="AS144" s="67">
        <f>SUM(AJ145:AJ150)</f>
        <v>0</v>
      </c>
    </row>
    <row r="145" spans="1:74" x14ac:dyDescent="0.25">
      <c r="A145" s="92" t="s">
        <v>415</v>
      </c>
      <c r="B145" s="69" t="s">
        <v>389</v>
      </c>
      <c r="C145" s="306" t="s">
        <v>390</v>
      </c>
      <c r="D145" s="307"/>
      <c r="E145" s="69" t="s">
        <v>281</v>
      </c>
      <c r="F145" s="77">
        <v>17.28</v>
      </c>
      <c r="G145" s="218">
        <v>0</v>
      </c>
      <c r="H145" s="77">
        <f>F145*AM145</f>
        <v>0</v>
      </c>
      <c r="I145" s="77">
        <f>F145*AN145</f>
        <v>0</v>
      </c>
      <c r="J145" s="77">
        <f>F145*G145</f>
        <v>0</v>
      </c>
      <c r="K145" s="77">
        <v>0</v>
      </c>
      <c r="L145" s="77">
        <f>F145*K145</f>
        <v>0</v>
      </c>
      <c r="M145" s="103" t="s">
        <v>35</v>
      </c>
      <c r="X145" s="77">
        <f>IF(AO145="5",BH145,0)</f>
        <v>0</v>
      </c>
      <c r="Z145" s="77">
        <f>IF(AO145="1",BF145,0)</f>
        <v>0</v>
      </c>
      <c r="AA145" s="77">
        <f>IF(AO145="1",BG145,0)</f>
        <v>0</v>
      </c>
      <c r="AB145" s="77">
        <f>IF(AO145="7",BF145,0)</f>
        <v>0</v>
      </c>
      <c r="AC145" s="77">
        <f>IF(AO145="7",BG145,0)</f>
        <v>0</v>
      </c>
      <c r="AD145" s="77">
        <f>IF(AO145="2",BF145,0)</f>
        <v>0</v>
      </c>
      <c r="AE145" s="77">
        <f>IF(AO145="2",BG145,0)</f>
        <v>0</v>
      </c>
      <c r="AF145" s="77">
        <f>IF(AO145="0",BH145,0)</f>
        <v>0</v>
      </c>
      <c r="AG145" s="71" t="s">
        <v>129</v>
      </c>
      <c r="AH145" s="77">
        <f>IF(AL145=0,J145,0)</f>
        <v>0</v>
      </c>
      <c r="AI145" s="77">
        <f>IF(AL145=15,J145,0)</f>
        <v>0</v>
      </c>
      <c r="AJ145" s="77">
        <f>IF(AL145=21,J145,0)</f>
        <v>0</v>
      </c>
      <c r="AL145" s="77">
        <v>15</v>
      </c>
      <c r="AM145" s="77">
        <f>G145*0</f>
        <v>0</v>
      </c>
      <c r="AN145" s="77">
        <f>G145*(1-0)</f>
        <v>0</v>
      </c>
      <c r="AO145" s="79" t="s">
        <v>158</v>
      </c>
      <c r="AT145" s="77">
        <f>AU145+AV145</f>
        <v>0</v>
      </c>
      <c r="AU145" s="77">
        <f>F145*AM145</f>
        <v>0</v>
      </c>
      <c r="AV145" s="77">
        <f>F145*AN145</f>
        <v>0</v>
      </c>
      <c r="AW145" s="79" t="s">
        <v>391</v>
      </c>
      <c r="AX145" s="79" t="s">
        <v>384</v>
      </c>
      <c r="AY145" s="71" t="s">
        <v>137</v>
      </c>
      <c r="BA145" s="77">
        <f>AU145+AV145</f>
        <v>0</v>
      </c>
      <c r="BB145" s="77">
        <f>G145/(100-BC145)*100</f>
        <v>0</v>
      </c>
      <c r="BC145" s="77">
        <v>0</v>
      </c>
      <c r="BD145" s="77">
        <f>L145</f>
        <v>0</v>
      </c>
      <c r="BF145" s="77">
        <f>F145*AM145</f>
        <v>0</v>
      </c>
      <c r="BG145" s="77">
        <f>F145*AN145</f>
        <v>0</v>
      </c>
      <c r="BH145" s="77">
        <f>F145*G145</f>
        <v>0</v>
      </c>
      <c r="BI145" s="77"/>
      <c r="BJ145" s="77"/>
      <c r="BU145" s="77" t="e">
        <f>#REF!</f>
        <v>#REF!</v>
      </c>
      <c r="BV145" s="70" t="s">
        <v>390</v>
      </c>
    </row>
    <row r="146" spans="1:74" x14ac:dyDescent="0.25">
      <c r="A146" s="92" t="s">
        <v>419</v>
      </c>
      <c r="B146" s="69" t="s">
        <v>393</v>
      </c>
      <c r="C146" s="306" t="s">
        <v>394</v>
      </c>
      <c r="D146" s="307"/>
      <c r="E146" s="69" t="s">
        <v>281</v>
      </c>
      <c r="F146" s="77">
        <v>64.8</v>
      </c>
      <c r="G146" s="218">
        <v>0</v>
      </c>
      <c r="H146" s="77">
        <f>F146*AM146</f>
        <v>0</v>
      </c>
      <c r="I146" s="77">
        <f>F146*AN146</f>
        <v>0</v>
      </c>
      <c r="J146" s="77">
        <f>F146*G146</f>
        <v>0</v>
      </c>
      <c r="K146" s="77">
        <v>0</v>
      </c>
      <c r="L146" s="77">
        <f>F146*K146</f>
        <v>0</v>
      </c>
      <c r="M146" s="103" t="s">
        <v>35</v>
      </c>
      <c r="X146" s="77">
        <f>IF(AO146="5",BH146,0)</f>
        <v>0</v>
      </c>
      <c r="Z146" s="77">
        <f>IF(AO146="1",BF146,0)</f>
        <v>0</v>
      </c>
      <c r="AA146" s="77">
        <f>IF(AO146="1",BG146,0)</f>
        <v>0</v>
      </c>
      <c r="AB146" s="77">
        <f>IF(AO146="7",BF146,0)</f>
        <v>0</v>
      </c>
      <c r="AC146" s="77">
        <f>IF(AO146="7",BG146,0)</f>
        <v>0</v>
      </c>
      <c r="AD146" s="77">
        <f>IF(AO146="2",BF146,0)</f>
        <v>0</v>
      </c>
      <c r="AE146" s="77">
        <f>IF(AO146="2",BG146,0)</f>
        <v>0</v>
      </c>
      <c r="AF146" s="77">
        <f>IF(AO146="0",BH146,0)</f>
        <v>0</v>
      </c>
      <c r="AG146" s="71" t="s">
        <v>129</v>
      </c>
      <c r="AH146" s="77">
        <f>IF(AL146=0,J146,0)</f>
        <v>0</v>
      </c>
      <c r="AI146" s="77">
        <f>IF(AL146=15,J146,0)</f>
        <v>0</v>
      </c>
      <c r="AJ146" s="77">
        <f>IF(AL146=21,J146,0)</f>
        <v>0</v>
      </c>
      <c r="AL146" s="77">
        <v>15</v>
      </c>
      <c r="AM146" s="77">
        <f>G146*0</f>
        <v>0</v>
      </c>
      <c r="AN146" s="77">
        <f>G146*(1-0)</f>
        <v>0</v>
      </c>
      <c r="AO146" s="79" t="s">
        <v>158</v>
      </c>
      <c r="AT146" s="77">
        <f>AU146+AV146</f>
        <v>0</v>
      </c>
      <c r="AU146" s="77">
        <f>F146*AM146</f>
        <v>0</v>
      </c>
      <c r="AV146" s="77">
        <f>F146*AN146</f>
        <v>0</v>
      </c>
      <c r="AW146" s="79" t="s">
        <v>391</v>
      </c>
      <c r="AX146" s="79" t="s">
        <v>384</v>
      </c>
      <c r="AY146" s="71" t="s">
        <v>137</v>
      </c>
      <c r="BA146" s="77">
        <f>AU146+AV146</f>
        <v>0</v>
      </c>
      <c r="BB146" s="77">
        <f>G146/(100-BC146)*100</f>
        <v>0</v>
      </c>
      <c r="BC146" s="77">
        <v>0</v>
      </c>
      <c r="BD146" s="77">
        <f>L146</f>
        <v>0</v>
      </c>
      <c r="BF146" s="77">
        <f>F146*AM146</f>
        <v>0</v>
      </c>
      <c r="BG146" s="77">
        <f>F146*AN146</f>
        <v>0</v>
      </c>
      <c r="BH146" s="77">
        <f>F146*G146</f>
        <v>0</v>
      </c>
      <c r="BI146" s="77"/>
      <c r="BJ146" s="77"/>
      <c r="BU146" s="77" t="e">
        <f>#REF!</f>
        <v>#REF!</v>
      </c>
      <c r="BV146" s="70" t="s">
        <v>394</v>
      </c>
    </row>
    <row r="147" spans="1:74" ht="40.5" customHeight="1" x14ac:dyDescent="0.25">
      <c r="A147" s="104"/>
      <c r="B147" s="81" t="s">
        <v>138</v>
      </c>
      <c r="C147" s="303" t="s">
        <v>884</v>
      </c>
      <c r="D147" s="304"/>
      <c r="E147" s="304"/>
      <c r="F147" s="304"/>
      <c r="G147" s="304"/>
      <c r="H147" s="304"/>
      <c r="I147" s="304"/>
      <c r="J147" s="304"/>
      <c r="K147" s="304"/>
      <c r="L147" s="304"/>
      <c r="M147" s="305"/>
    </row>
    <row r="148" spans="1:74" x14ac:dyDescent="0.25">
      <c r="A148" s="92" t="s">
        <v>421</v>
      </c>
      <c r="B148" s="69" t="s">
        <v>397</v>
      </c>
      <c r="C148" s="306" t="s">
        <v>398</v>
      </c>
      <c r="D148" s="307"/>
      <c r="E148" s="69" t="s">
        <v>281</v>
      </c>
      <c r="F148" s="77">
        <v>21.6</v>
      </c>
      <c r="G148" s="218">
        <v>0</v>
      </c>
      <c r="H148" s="77">
        <f>F148*AM148</f>
        <v>0</v>
      </c>
      <c r="I148" s="77">
        <f>F148*AN148</f>
        <v>0</v>
      </c>
      <c r="J148" s="77">
        <f>F148*G148</f>
        <v>0</v>
      </c>
      <c r="K148" s="77">
        <v>0</v>
      </c>
      <c r="L148" s="77">
        <f>F148*K148</f>
        <v>0</v>
      </c>
      <c r="M148" s="103" t="s">
        <v>35</v>
      </c>
      <c r="X148" s="77">
        <f>IF(AO148="5",BH148,0)</f>
        <v>0</v>
      </c>
      <c r="Z148" s="77">
        <f>IF(AO148="1",BF148,0)</f>
        <v>0</v>
      </c>
      <c r="AA148" s="77">
        <f>IF(AO148="1",BG148,0)</f>
        <v>0</v>
      </c>
      <c r="AB148" s="77">
        <f>IF(AO148="7",BF148,0)</f>
        <v>0</v>
      </c>
      <c r="AC148" s="77">
        <f>IF(AO148="7",BG148,0)</f>
        <v>0</v>
      </c>
      <c r="AD148" s="77">
        <f>IF(AO148="2",BF148,0)</f>
        <v>0</v>
      </c>
      <c r="AE148" s="77">
        <f>IF(AO148="2",BG148,0)</f>
        <v>0</v>
      </c>
      <c r="AF148" s="77">
        <f>IF(AO148="0",BH148,0)</f>
        <v>0</v>
      </c>
      <c r="AG148" s="71" t="s">
        <v>129</v>
      </c>
      <c r="AH148" s="77">
        <f>IF(AL148=0,J148,0)</f>
        <v>0</v>
      </c>
      <c r="AI148" s="77">
        <f>IF(AL148=15,J148,0)</f>
        <v>0</v>
      </c>
      <c r="AJ148" s="77">
        <f>IF(AL148=21,J148,0)</f>
        <v>0</v>
      </c>
      <c r="AL148" s="77">
        <v>15</v>
      </c>
      <c r="AM148" s="77">
        <f>G148*0</f>
        <v>0</v>
      </c>
      <c r="AN148" s="77">
        <f>G148*(1-0)</f>
        <v>0</v>
      </c>
      <c r="AO148" s="79" t="s">
        <v>158</v>
      </c>
      <c r="AT148" s="77">
        <f>AU148+AV148</f>
        <v>0</v>
      </c>
      <c r="AU148" s="77">
        <f>F148*AM148</f>
        <v>0</v>
      </c>
      <c r="AV148" s="77">
        <f>F148*AN148</f>
        <v>0</v>
      </c>
      <c r="AW148" s="79" t="s">
        <v>391</v>
      </c>
      <c r="AX148" s="79" t="s">
        <v>384</v>
      </c>
      <c r="AY148" s="71" t="s">
        <v>137</v>
      </c>
      <c r="BA148" s="77">
        <f>AU148+AV148</f>
        <v>0</v>
      </c>
      <c r="BB148" s="77">
        <f>G148/(100-BC148)*100</f>
        <v>0</v>
      </c>
      <c r="BC148" s="77">
        <v>0</v>
      </c>
      <c r="BD148" s="77">
        <f>L148</f>
        <v>0</v>
      </c>
      <c r="BF148" s="77">
        <f>F148*AM148</f>
        <v>0</v>
      </c>
      <c r="BG148" s="77">
        <f>F148*AN148</f>
        <v>0</v>
      </c>
      <c r="BH148" s="77">
        <f>F148*G148</f>
        <v>0</v>
      </c>
      <c r="BI148" s="77"/>
      <c r="BJ148" s="77"/>
      <c r="BU148" s="77" t="e">
        <f>#REF!</f>
        <v>#REF!</v>
      </c>
      <c r="BV148" s="70" t="s">
        <v>398</v>
      </c>
    </row>
    <row r="149" spans="1:74" ht="40.5" customHeight="1" x14ac:dyDescent="0.25">
      <c r="A149" s="104"/>
      <c r="B149" s="81" t="s">
        <v>138</v>
      </c>
      <c r="C149" s="303" t="s">
        <v>885</v>
      </c>
      <c r="D149" s="304"/>
      <c r="E149" s="304"/>
      <c r="F149" s="304"/>
      <c r="G149" s="304"/>
      <c r="H149" s="304"/>
      <c r="I149" s="304"/>
      <c r="J149" s="304"/>
      <c r="K149" s="304"/>
      <c r="L149" s="304"/>
      <c r="M149" s="305"/>
    </row>
    <row r="150" spans="1:74" ht="26.25" thickBot="1" x14ac:dyDescent="0.3">
      <c r="A150" s="93" t="s">
        <v>425</v>
      </c>
      <c r="B150" s="94" t="s">
        <v>389</v>
      </c>
      <c r="C150" s="316" t="s">
        <v>400</v>
      </c>
      <c r="D150" s="317"/>
      <c r="E150" s="94" t="s">
        <v>281</v>
      </c>
      <c r="F150" s="125">
        <v>23.09</v>
      </c>
      <c r="G150" s="220">
        <v>0</v>
      </c>
      <c r="H150" s="125">
        <f>F150*AM150</f>
        <v>0</v>
      </c>
      <c r="I150" s="125">
        <f>F150*AN150</f>
        <v>0</v>
      </c>
      <c r="J150" s="125">
        <f>F150*G150</f>
        <v>0</v>
      </c>
      <c r="K150" s="125">
        <v>0</v>
      </c>
      <c r="L150" s="125">
        <f>F150*K150</f>
        <v>0</v>
      </c>
      <c r="M150" s="126" t="s">
        <v>35</v>
      </c>
      <c r="X150" s="77">
        <f>IF(AO150="5",BH150,0)</f>
        <v>0</v>
      </c>
      <c r="Z150" s="77">
        <f>IF(AO150="1",BF150,0)</f>
        <v>0</v>
      </c>
      <c r="AA150" s="77">
        <f>IF(AO150="1",BG150,0)</f>
        <v>0</v>
      </c>
      <c r="AB150" s="77">
        <f>IF(AO150="7",BF150,0)</f>
        <v>0</v>
      </c>
      <c r="AC150" s="77">
        <f>IF(AO150="7",BG150,0)</f>
        <v>0</v>
      </c>
      <c r="AD150" s="77">
        <f>IF(AO150="2",BF150,0)</f>
        <v>0</v>
      </c>
      <c r="AE150" s="77">
        <f>IF(AO150="2",BG150,0)</f>
        <v>0</v>
      </c>
      <c r="AF150" s="77">
        <f>IF(AO150="0",BH150,0)</f>
        <v>0</v>
      </c>
      <c r="AG150" s="71" t="s">
        <v>129</v>
      </c>
      <c r="AH150" s="77">
        <f>IF(AL150=0,J150,0)</f>
        <v>0</v>
      </c>
      <c r="AI150" s="77">
        <f>IF(AL150=15,J150,0)</f>
        <v>0</v>
      </c>
      <c r="AJ150" s="77">
        <f>IF(AL150=21,J150,0)</f>
        <v>0</v>
      </c>
      <c r="AL150" s="77">
        <v>15</v>
      </c>
      <c r="AM150" s="77">
        <f>G150*0</f>
        <v>0</v>
      </c>
      <c r="AN150" s="77">
        <f>G150*(1-0)</f>
        <v>0</v>
      </c>
      <c r="AO150" s="79" t="s">
        <v>158</v>
      </c>
      <c r="AT150" s="77">
        <f>AU150+AV150</f>
        <v>0</v>
      </c>
      <c r="AU150" s="77">
        <f>F150*AM150</f>
        <v>0</v>
      </c>
      <c r="AV150" s="77">
        <f>F150*AN150</f>
        <v>0</v>
      </c>
      <c r="AW150" s="79" t="s">
        <v>391</v>
      </c>
      <c r="AX150" s="79" t="s">
        <v>384</v>
      </c>
      <c r="AY150" s="71" t="s">
        <v>137</v>
      </c>
      <c r="BA150" s="77">
        <f>AU150+AV150</f>
        <v>0</v>
      </c>
      <c r="BB150" s="77">
        <f>G150/(100-BC150)*100</f>
        <v>0</v>
      </c>
      <c r="BC150" s="77">
        <v>0</v>
      </c>
      <c r="BD150" s="77">
        <f>L150</f>
        <v>0</v>
      </c>
      <c r="BF150" s="77">
        <f>F150*AM150</f>
        <v>0</v>
      </c>
      <c r="BG150" s="77">
        <f>F150*AN150</f>
        <v>0</v>
      </c>
      <c r="BH150" s="77">
        <f>F150*G150</f>
        <v>0</v>
      </c>
      <c r="BI150" s="77"/>
      <c r="BJ150" s="77"/>
      <c r="BU150" s="77" t="e">
        <f>#REF!</f>
        <v>#REF!</v>
      </c>
      <c r="BV150" s="70" t="s">
        <v>400</v>
      </c>
    </row>
    <row r="151" spans="1:74" x14ac:dyDescent="0.25">
      <c r="A151" s="97" t="s">
        <v>129</v>
      </c>
      <c r="B151" s="98" t="s">
        <v>401</v>
      </c>
      <c r="C151" s="318" t="s">
        <v>402</v>
      </c>
      <c r="D151" s="319"/>
      <c r="E151" s="99" t="s">
        <v>87</v>
      </c>
      <c r="F151" s="99" t="s">
        <v>87</v>
      </c>
      <c r="G151" s="99" t="s">
        <v>87</v>
      </c>
      <c r="H151" s="100">
        <f>SUM(H152:H154)</f>
        <v>0</v>
      </c>
      <c r="I151" s="100">
        <f>SUM(I152:I154)</f>
        <v>0</v>
      </c>
      <c r="J151" s="100">
        <f>SUM(J152:J154)</f>
        <v>0</v>
      </c>
      <c r="K151" s="101" t="s">
        <v>129</v>
      </c>
      <c r="L151" s="100">
        <f>SUM(L152:L154)</f>
        <v>0</v>
      </c>
      <c r="M151" s="102" t="s">
        <v>129</v>
      </c>
      <c r="AG151" s="71" t="s">
        <v>129</v>
      </c>
      <c r="AQ151" s="67">
        <f>SUM(AH152:AH154)</f>
        <v>0</v>
      </c>
      <c r="AR151" s="67">
        <f>SUM(AI152:AI154)</f>
        <v>0</v>
      </c>
      <c r="AS151" s="67">
        <f>SUM(AJ152:AJ154)</f>
        <v>0</v>
      </c>
    </row>
    <row r="152" spans="1:74" x14ac:dyDescent="0.25">
      <c r="A152" s="92" t="s">
        <v>429</v>
      </c>
      <c r="B152" s="69" t="s">
        <v>404</v>
      </c>
      <c r="C152" s="306" t="s">
        <v>405</v>
      </c>
      <c r="D152" s="307"/>
      <c r="E152" s="69" t="s">
        <v>281</v>
      </c>
      <c r="F152" s="77">
        <v>0.43</v>
      </c>
      <c r="G152" s="218">
        <v>0</v>
      </c>
      <c r="H152" s="77">
        <f>F152*AM152</f>
        <v>0</v>
      </c>
      <c r="I152" s="77">
        <f>F152*AN152</f>
        <v>0</v>
      </c>
      <c r="J152" s="77">
        <f>F152*G152</f>
        <v>0</v>
      </c>
      <c r="K152" s="77">
        <v>0</v>
      </c>
      <c r="L152" s="77">
        <f>F152*K152</f>
        <v>0</v>
      </c>
      <c r="M152" s="103" t="s">
        <v>35</v>
      </c>
      <c r="X152" s="77">
        <f>IF(AO152="5",BH152,0)</f>
        <v>0</v>
      </c>
      <c r="Z152" s="77">
        <f>IF(AO152="1",BF152,0)</f>
        <v>0</v>
      </c>
      <c r="AA152" s="77">
        <f>IF(AO152="1",BG152,0)</f>
        <v>0</v>
      </c>
      <c r="AB152" s="77">
        <f>IF(AO152="7",BF152,0)</f>
        <v>0</v>
      </c>
      <c r="AC152" s="77">
        <f>IF(AO152="7",BG152,0)</f>
        <v>0</v>
      </c>
      <c r="AD152" s="77">
        <f>IF(AO152="2",BF152,0)</f>
        <v>0</v>
      </c>
      <c r="AE152" s="77">
        <f>IF(AO152="2",BG152,0)</f>
        <v>0</v>
      </c>
      <c r="AF152" s="77">
        <f>IF(AO152="0",BH152,0)</f>
        <v>0</v>
      </c>
      <c r="AG152" s="71" t="s">
        <v>129</v>
      </c>
      <c r="AH152" s="77">
        <f>IF(AL152=0,J152,0)</f>
        <v>0</v>
      </c>
      <c r="AI152" s="77">
        <f>IF(AL152=15,J152,0)</f>
        <v>0</v>
      </c>
      <c r="AJ152" s="77">
        <f>IF(AL152=21,J152,0)</f>
        <v>0</v>
      </c>
      <c r="AL152" s="77">
        <v>15</v>
      </c>
      <c r="AM152" s="77">
        <f>G152*0</f>
        <v>0</v>
      </c>
      <c r="AN152" s="77">
        <f>G152*(1-0)</f>
        <v>0</v>
      </c>
      <c r="AO152" s="79" t="s">
        <v>158</v>
      </c>
      <c r="AT152" s="77">
        <f>AU152+AV152</f>
        <v>0</v>
      </c>
      <c r="AU152" s="77">
        <f>F152*AM152</f>
        <v>0</v>
      </c>
      <c r="AV152" s="77">
        <f>F152*AN152</f>
        <v>0</v>
      </c>
      <c r="AW152" s="79" t="s">
        <v>406</v>
      </c>
      <c r="AX152" s="79" t="s">
        <v>384</v>
      </c>
      <c r="AY152" s="71" t="s">
        <v>137</v>
      </c>
      <c r="BA152" s="77">
        <f>AU152+AV152</f>
        <v>0</v>
      </c>
      <c r="BB152" s="77">
        <f>G152/(100-BC152)*100</f>
        <v>0</v>
      </c>
      <c r="BC152" s="77">
        <v>0</v>
      </c>
      <c r="BD152" s="77">
        <f>L152</f>
        <v>0</v>
      </c>
      <c r="BF152" s="77">
        <f>F152*AM152</f>
        <v>0</v>
      </c>
      <c r="BG152" s="77">
        <f>F152*AN152</f>
        <v>0</v>
      </c>
      <c r="BH152" s="77">
        <f>F152*G152</f>
        <v>0</v>
      </c>
      <c r="BI152" s="77"/>
      <c r="BJ152" s="77"/>
      <c r="BU152" s="77" t="e">
        <f>#REF!</f>
        <v>#REF!</v>
      </c>
      <c r="BV152" s="70" t="s">
        <v>405</v>
      </c>
    </row>
    <row r="153" spans="1:74" x14ac:dyDescent="0.25">
      <c r="A153" s="92" t="s">
        <v>433</v>
      </c>
      <c r="B153" s="69" t="s">
        <v>408</v>
      </c>
      <c r="C153" s="306" t="s">
        <v>409</v>
      </c>
      <c r="D153" s="307"/>
      <c r="E153" s="69" t="s">
        <v>281</v>
      </c>
      <c r="F153" s="77">
        <v>11.46</v>
      </c>
      <c r="G153" s="218">
        <v>0</v>
      </c>
      <c r="H153" s="77">
        <f>F153*AM153</f>
        <v>0</v>
      </c>
      <c r="I153" s="77">
        <f>F153*AN153</f>
        <v>0</v>
      </c>
      <c r="J153" s="77">
        <f>F153*G153</f>
        <v>0</v>
      </c>
      <c r="K153" s="77">
        <v>0</v>
      </c>
      <c r="L153" s="77">
        <f>F153*K153</f>
        <v>0</v>
      </c>
      <c r="M153" s="103" t="s">
        <v>35</v>
      </c>
      <c r="X153" s="77">
        <f>IF(AO153="5",BH153,0)</f>
        <v>0</v>
      </c>
      <c r="Z153" s="77">
        <f>IF(AO153="1",BF153,0)</f>
        <v>0</v>
      </c>
      <c r="AA153" s="77">
        <f>IF(AO153="1",BG153,0)</f>
        <v>0</v>
      </c>
      <c r="AB153" s="77">
        <f>IF(AO153="7",BF153,0)</f>
        <v>0</v>
      </c>
      <c r="AC153" s="77">
        <f>IF(AO153="7",BG153,0)</f>
        <v>0</v>
      </c>
      <c r="AD153" s="77">
        <f>IF(AO153="2",BF153,0)</f>
        <v>0</v>
      </c>
      <c r="AE153" s="77">
        <f>IF(AO153="2",BG153,0)</f>
        <v>0</v>
      </c>
      <c r="AF153" s="77">
        <f>IF(AO153="0",BH153,0)</f>
        <v>0</v>
      </c>
      <c r="AG153" s="71" t="s">
        <v>129</v>
      </c>
      <c r="AH153" s="77">
        <f>IF(AL153=0,J153,0)</f>
        <v>0</v>
      </c>
      <c r="AI153" s="77">
        <f>IF(AL153=15,J153,0)</f>
        <v>0</v>
      </c>
      <c r="AJ153" s="77">
        <f>IF(AL153=21,J153,0)</f>
        <v>0</v>
      </c>
      <c r="AL153" s="77">
        <v>15</v>
      </c>
      <c r="AM153" s="77">
        <f>G153*0</f>
        <v>0</v>
      </c>
      <c r="AN153" s="77">
        <f>G153*(1-0)</f>
        <v>0</v>
      </c>
      <c r="AO153" s="79" t="s">
        <v>158</v>
      </c>
      <c r="AT153" s="77">
        <f>AU153+AV153</f>
        <v>0</v>
      </c>
      <c r="AU153" s="77">
        <f>F153*AM153</f>
        <v>0</v>
      </c>
      <c r="AV153" s="77">
        <f>F153*AN153</f>
        <v>0</v>
      </c>
      <c r="AW153" s="79" t="s">
        <v>406</v>
      </c>
      <c r="AX153" s="79" t="s">
        <v>384</v>
      </c>
      <c r="AY153" s="71" t="s">
        <v>137</v>
      </c>
      <c r="BA153" s="77">
        <f>AU153+AV153</f>
        <v>0</v>
      </c>
      <c r="BB153" s="77">
        <f>G153/(100-BC153)*100</f>
        <v>0</v>
      </c>
      <c r="BC153" s="77">
        <v>0</v>
      </c>
      <c r="BD153" s="77">
        <f>L153</f>
        <v>0</v>
      </c>
      <c r="BF153" s="77">
        <f>F153*AM153</f>
        <v>0</v>
      </c>
      <c r="BG153" s="77">
        <f>F153*AN153</f>
        <v>0</v>
      </c>
      <c r="BH153" s="77">
        <f>F153*G153</f>
        <v>0</v>
      </c>
      <c r="BI153" s="77"/>
      <c r="BJ153" s="77"/>
      <c r="BU153" s="77" t="e">
        <f>#REF!</f>
        <v>#REF!</v>
      </c>
      <c r="BV153" s="70" t="s">
        <v>409</v>
      </c>
    </row>
    <row r="154" spans="1:74" x14ac:dyDescent="0.25">
      <c r="A154" s="92" t="s">
        <v>437</v>
      </c>
      <c r="B154" s="69" t="s">
        <v>411</v>
      </c>
      <c r="C154" s="306" t="s">
        <v>412</v>
      </c>
      <c r="D154" s="307"/>
      <c r="E154" s="69" t="s">
        <v>281</v>
      </c>
      <c r="F154" s="77">
        <v>3.59</v>
      </c>
      <c r="G154" s="218">
        <v>0</v>
      </c>
      <c r="H154" s="77">
        <f>F154*AM154</f>
        <v>0</v>
      </c>
      <c r="I154" s="77">
        <f>F154*AN154</f>
        <v>0</v>
      </c>
      <c r="J154" s="77">
        <f>F154*G154</f>
        <v>0</v>
      </c>
      <c r="K154" s="77">
        <v>0</v>
      </c>
      <c r="L154" s="77">
        <f>F154*K154</f>
        <v>0</v>
      </c>
      <c r="M154" s="103" t="s">
        <v>35</v>
      </c>
      <c r="X154" s="77">
        <f>IF(AO154="5",BH154,0)</f>
        <v>0</v>
      </c>
      <c r="Z154" s="77">
        <f>IF(AO154="1",BF154,0)</f>
        <v>0</v>
      </c>
      <c r="AA154" s="77">
        <f>IF(AO154="1",BG154,0)</f>
        <v>0</v>
      </c>
      <c r="AB154" s="77">
        <f>IF(AO154="7",BF154,0)</f>
        <v>0</v>
      </c>
      <c r="AC154" s="77">
        <f>IF(AO154="7",BG154,0)</f>
        <v>0</v>
      </c>
      <c r="AD154" s="77">
        <f>IF(AO154="2",BF154,0)</f>
        <v>0</v>
      </c>
      <c r="AE154" s="77">
        <f>IF(AO154="2",BG154,0)</f>
        <v>0</v>
      </c>
      <c r="AF154" s="77">
        <f>IF(AO154="0",BH154,0)</f>
        <v>0</v>
      </c>
      <c r="AG154" s="71" t="s">
        <v>129</v>
      </c>
      <c r="AH154" s="77">
        <f>IF(AL154=0,J154,0)</f>
        <v>0</v>
      </c>
      <c r="AI154" s="77">
        <f>IF(AL154=15,J154,0)</f>
        <v>0</v>
      </c>
      <c r="AJ154" s="77">
        <f>IF(AL154=21,J154,0)</f>
        <v>0</v>
      </c>
      <c r="AL154" s="77">
        <v>15</v>
      </c>
      <c r="AM154" s="77">
        <f>G154*0</f>
        <v>0</v>
      </c>
      <c r="AN154" s="77">
        <f>G154*(1-0)</f>
        <v>0</v>
      </c>
      <c r="AO154" s="79" t="s">
        <v>158</v>
      </c>
      <c r="AT154" s="77">
        <f>AU154+AV154</f>
        <v>0</v>
      </c>
      <c r="AU154" s="77">
        <f>F154*AM154</f>
        <v>0</v>
      </c>
      <c r="AV154" s="77">
        <f>F154*AN154</f>
        <v>0</v>
      </c>
      <c r="AW154" s="79" t="s">
        <v>406</v>
      </c>
      <c r="AX154" s="79" t="s">
        <v>384</v>
      </c>
      <c r="AY154" s="71" t="s">
        <v>137</v>
      </c>
      <c r="BA154" s="77">
        <f>AU154+AV154</f>
        <v>0</v>
      </c>
      <c r="BB154" s="77">
        <f>G154/(100-BC154)*100</f>
        <v>0</v>
      </c>
      <c r="BC154" s="77">
        <v>0</v>
      </c>
      <c r="BD154" s="77">
        <f>L154</f>
        <v>0</v>
      </c>
      <c r="BF154" s="77">
        <f>F154*AM154</f>
        <v>0</v>
      </c>
      <c r="BG154" s="77">
        <f>F154*AN154</f>
        <v>0</v>
      </c>
      <c r="BH154" s="77">
        <f>F154*G154</f>
        <v>0</v>
      </c>
      <c r="BI154" s="77"/>
      <c r="BJ154" s="77"/>
      <c r="BU154" s="77" t="e">
        <f>#REF!</f>
        <v>#REF!</v>
      </c>
      <c r="BV154" s="70" t="s">
        <v>412</v>
      </c>
    </row>
    <row r="155" spans="1:74" x14ac:dyDescent="0.25">
      <c r="A155" s="105" t="s">
        <v>129</v>
      </c>
      <c r="B155" s="74" t="s">
        <v>413</v>
      </c>
      <c r="C155" s="314" t="s">
        <v>414</v>
      </c>
      <c r="D155" s="315"/>
      <c r="E155" s="75" t="s">
        <v>87</v>
      </c>
      <c r="F155" s="75" t="s">
        <v>87</v>
      </c>
      <c r="G155" s="75" t="s">
        <v>87</v>
      </c>
      <c r="H155" s="67">
        <f>SUM(H156:H178)</f>
        <v>0</v>
      </c>
      <c r="I155" s="67">
        <f>SUM(I156:I178)</f>
        <v>0</v>
      </c>
      <c r="J155" s="67">
        <f>SUM(J156:J178)</f>
        <v>0</v>
      </c>
      <c r="K155" s="71" t="s">
        <v>129</v>
      </c>
      <c r="L155" s="67">
        <f>SUM(L156:L178)</f>
        <v>3.3227081999999997</v>
      </c>
      <c r="M155" s="106" t="s">
        <v>129</v>
      </c>
      <c r="AG155" s="71" t="s">
        <v>129</v>
      </c>
      <c r="AQ155" s="67">
        <f>SUM(AH156:AH178)</f>
        <v>0</v>
      </c>
      <c r="AR155" s="67">
        <f>SUM(AI156:AI178)</f>
        <v>0</v>
      </c>
      <c r="AS155" s="67">
        <f>SUM(AJ156:AJ178)</f>
        <v>0</v>
      </c>
    </row>
    <row r="156" spans="1:74" x14ac:dyDescent="0.25">
      <c r="A156" s="92" t="s">
        <v>441</v>
      </c>
      <c r="B156" s="69" t="s">
        <v>886</v>
      </c>
      <c r="C156" s="306" t="s">
        <v>887</v>
      </c>
      <c r="D156" s="307"/>
      <c r="E156" s="69" t="s">
        <v>325</v>
      </c>
      <c r="F156" s="77">
        <v>1.01</v>
      </c>
      <c r="G156" s="218">
        <v>0</v>
      </c>
      <c r="H156" s="77">
        <f>F156*AM156</f>
        <v>0</v>
      </c>
      <c r="I156" s="77">
        <f>F156*AN156</f>
        <v>0</v>
      </c>
      <c r="J156" s="77">
        <f>F156*G156</f>
        <v>0</v>
      </c>
      <c r="K156" s="77">
        <v>9.9519999999999997E-2</v>
      </c>
      <c r="L156" s="77">
        <f>F156*K156</f>
        <v>0.1005152</v>
      </c>
      <c r="M156" s="103" t="s">
        <v>35</v>
      </c>
      <c r="X156" s="77">
        <f>IF(AO156="5",BH156,0)</f>
        <v>0</v>
      </c>
      <c r="Z156" s="77">
        <f>IF(AO156="1",BF156,0)</f>
        <v>0</v>
      </c>
      <c r="AA156" s="77">
        <f>IF(AO156="1",BG156,0)</f>
        <v>0</v>
      </c>
      <c r="AB156" s="77">
        <f>IF(AO156="7",BF156,0)</f>
        <v>0</v>
      </c>
      <c r="AC156" s="77">
        <f>IF(AO156="7",BG156,0)</f>
        <v>0</v>
      </c>
      <c r="AD156" s="77">
        <f>IF(AO156="2",BF156,0)</f>
        <v>0</v>
      </c>
      <c r="AE156" s="77">
        <f>IF(AO156="2",BG156,0)</f>
        <v>0</v>
      </c>
      <c r="AF156" s="77">
        <f>IF(AO156="0",BH156,0)</f>
        <v>0</v>
      </c>
      <c r="AG156" s="71" t="s">
        <v>129</v>
      </c>
      <c r="AH156" s="77">
        <f>IF(AL156=0,J156,0)</f>
        <v>0</v>
      </c>
      <c r="AI156" s="77">
        <f>IF(AL156=15,J156,0)</f>
        <v>0</v>
      </c>
      <c r="AJ156" s="77">
        <f>IF(AL156=21,J156,0)</f>
        <v>0</v>
      </c>
      <c r="AL156" s="77">
        <v>15</v>
      </c>
      <c r="AM156" s="77">
        <f>G156*1</f>
        <v>0</v>
      </c>
      <c r="AN156" s="77">
        <f>G156*(1-1)</f>
        <v>0</v>
      </c>
      <c r="AO156" s="79" t="s">
        <v>130</v>
      </c>
      <c r="AT156" s="77">
        <f>AU156+AV156</f>
        <v>0</v>
      </c>
      <c r="AU156" s="77">
        <f>F156*AM156</f>
        <v>0</v>
      </c>
      <c r="AV156" s="77">
        <f>F156*AN156</f>
        <v>0</v>
      </c>
      <c r="AW156" s="79" t="s">
        <v>416</v>
      </c>
      <c r="AX156" s="79" t="s">
        <v>417</v>
      </c>
      <c r="AY156" s="71" t="s">
        <v>137</v>
      </c>
      <c r="BA156" s="77">
        <f>AU156+AV156</f>
        <v>0</v>
      </c>
      <c r="BB156" s="77">
        <f>G156/(100-BC156)*100</f>
        <v>0</v>
      </c>
      <c r="BC156" s="77">
        <v>0</v>
      </c>
      <c r="BD156" s="77">
        <f>L156</f>
        <v>0.1005152</v>
      </c>
      <c r="BF156" s="77">
        <f>F156*AM156</f>
        <v>0</v>
      </c>
      <c r="BG156" s="77">
        <f>F156*AN156</f>
        <v>0</v>
      </c>
      <c r="BH156" s="77">
        <f>F156*G156</f>
        <v>0</v>
      </c>
      <c r="BI156" s="77"/>
      <c r="BJ156" s="77"/>
      <c r="BU156" s="77" t="e">
        <f>#REF!</f>
        <v>#REF!</v>
      </c>
      <c r="BV156" s="70" t="s">
        <v>887</v>
      </c>
    </row>
    <row r="157" spans="1:74" ht="67.5" customHeight="1" x14ac:dyDescent="0.25">
      <c r="A157" s="104"/>
      <c r="B157" s="81" t="s">
        <v>138</v>
      </c>
      <c r="C157" s="303" t="s">
        <v>888</v>
      </c>
      <c r="D157" s="304"/>
      <c r="E157" s="304"/>
      <c r="F157" s="304"/>
      <c r="G157" s="304"/>
      <c r="H157" s="304"/>
      <c r="I157" s="304"/>
      <c r="J157" s="304"/>
      <c r="K157" s="304"/>
      <c r="L157" s="304"/>
      <c r="M157" s="305"/>
    </row>
    <row r="158" spans="1:74" x14ac:dyDescent="0.25">
      <c r="A158" s="92" t="s">
        <v>445</v>
      </c>
      <c r="B158" s="69" t="s">
        <v>889</v>
      </c>
      <c r="C158" s="306" t="s">
        <v>890</v>
      </c>
      <c r="D158" s="307"/>
      <c r="E158" s="69" t="s">
        <v>325</v>
      </c>
      <c r="F158" s="77">
        <v>1.04</v>
      </c>
      <c r="G158" s="218">
        <v>0</v>
      </c>
      <c r="H158" s="77">
        <f>F158*AM158</f>
        <v>0</v>
      </c>
      <c r="I158" s="77">
        <f>F158*AN158</f>
        <v>0</v>
      </c>
      <c r="J158" s="77">
        <f>F158*G158</f>
        <v>0</v>
      </c>
      <c r="K158" s="77">
        <v>4.9759999999999999E-2</v>
      </c>
      <c r="L158" s="77">
        <f>F158*K158</f>
        <v>5.1750400000000002E-2</v>
      </c>
      <c r="M158" s="103" t="s">
        <v>35</v>
      </c>
      <c r="X158" s="77">
        <f>IF(AO158="5",BH158,0)</f>
        <v>0</v>
      </c>
      <c r="Z158" s="77">
        <f>IF(AO158="1",BF158,0)</f>
        <v>0</v>
      </c>
      <c r="AA158" s="77">
        <f>IF(AO158="1",BG158,0)</f>
        <v>0</v>
      </c>
      <c r="AB158" s="77">
        <f>IF(AO158="7",BF158,0)</f>
        <v>0</v>
      </c>
      <c r="AC158" s="77">
        <f>IF(AO158="7",BG158,0)</f>
        <v>0</v>
      </c>
      <c r="AD158" s="77">
        <f>IF(AO158="2",BF158,0)</f>
        <v>0</v>
      </c>
      <c r="AE158" s="77">
        <f>IF(AO158="2",BG158,0)</f>
        <v>0</v>
      </c>
      <c r="AF158" s="77">
        <f>IF(AO158="0",BH158,0)</f>
        <v>0</v>
      </c>
      <c r="AG158" s="71" t="s">
        <v>129</v>
      </c>
      <c r="AH158" s="77">
        <f>IF(AL158=0,J158,0)</f>
        <v>0</v>
      </c>
      <c r="AI158" s="77">
        <f>IF(AL158=15,J158,0)</f>
        <v>0</v>
      </c>
      <c r="AJ158" s="77">
        <f>IF(AL158=21,J158,0)</f>
        <v>0</v>
      </c>
      <c r="AL158" s="77">
        <v>15</v>
      </c>
      <c r="AM158" s="77">
        <f>G158*1</f>
        <v>0</v>
      </c>
      <c r="AN158" s="77">
        <f>G158*(1-1)</f>
        <v>0</v>
      </c>
      <c r="AO158" s="79" t="s">
        <v>130</v>
      </c>
      <c r="AT158" s="77">
        <f>AU158+AV158</f>
        <v>0</v>
      </c>
      <c r="AU158" s="77">
        <f>F158*AM158</f>
        <v>0</v>
      </c>
      <c r="AV158" s="77">
        <f>F158*AN158</f>
        <v>0</v>
      </c>
      <c r="AW158" s="79" t="s">
        <v>416</v>
      </c>
      <c r="AX158" s="79" t="s">
        <v>417</v>
      </c>
      <c r="AY158" s="71" t="s">
        <v>137</v>
      </c>
      <c r="BA158" s="77">
        <f>AU158+AV158</f>
        <v>0</v>
      </c>
      <c r="BB158" s="77">
        <f>G158/(100-BC158)*100</f>
        <v>0</v>
      </c>
      <c r="BC158" s="77">
        <v>0</v>
      </c>
      <c r="BD158" s="77">
        <f>L158</f>
        <v>5.1750400000000002E-2</v>
      </c>
      <c r="BF158" s="77">
        <f>F158*AM158</f>
        <v>0</v>
      </c>
      <c r="BG158" s="77">
        <f>F158*AN158</f>
        <v>0</v>
      </c>
      <c r="BH158" s="77">
        <f>F158*G158</f>
        <v>0</v>
      </c>
      <c r="BI158" s="77"/>
      <c r="BJ158" s="77"/>
      <c r="BU158" s="77" t="e">
        <f>#REF!</f>
        <v>#REF!</v>
      </c>
      <c r="BV158" s="70" t="s">
        <v>890</v>
      </c>
    </row>
    <row r="159" spans="1:74" ht="67.5" customHeight="1" x14ac:dyDescent="0.25">
      <c r="A159" s="104"/>
      <c r="B159" s="81" t="s">
        <v>138</v>
      </c>
      <c r="C159" s="303" t="s">
        <v>891</v>
      </c>
      <c r="D159" s="304"/>
      <c r="E159" s="304"/>
      <c r="F159" s="304"/>
      <c r="G159" s="304"/>
      <c r="H159" s="304"/>
      <c r="I159" s="304"/>
      <c r="J159" s="304"/>
      <c r="K159" s="304"/>
      <c r="L159" s="304"/>
      <c r="M159" s="305"/>
    </row>
    <row r="160" spans="1:74" x14ac:dyDescent="0.25">
      <c r="A160" s="92" t="s">
        <v>449</v>
      </c>
      <c r="B160" s="69" t="s">
        <v>892</v>
      </c>
      <c r="C160" s="306" t="s">
        <v>893</v>
      </c>
      <c r="D160" s="307"/>
      <c r="E160" s="69" t="s">
        <v>325</v>
      </c>
      <c r="F160" s="77">
        <v>2</v>
      </c>
      <c r="G160" s="218">
        <v>0</v>
      </c>
      <c r="H160" s="77">
        <f>F160*AM160</f>
        <v>0</v>
      </c>
      <c r="I160" s="77">
        <f>F160*AN160</f>
        <v>0</v>
      </c>
      <c r="J160" s="77">
        <f>F160*G160</f>
        <v>0</v>
      </c>
      <c r="K160" s="77">
        <v>0.12</v>
      </c>
      <c r="L160" s="77">
        <f>F160*K160</f>
        <v>0.24</v>
      </c>
      <c r="M160" s="103" t="s">
        <v>35</v>
      </c>
      <c r="X160" s="77">
        <f>IF(AO160="5",BH160,0)</f>
        <v>0</v>
      </c>
      <c r="Z160" s="77">
        <f>IF(AO160="1",BF160,0)</f>
        <v>0</v>
      </c>
      <c r="AA160" s="77">
        <f>IF(AO160="1",BG160,0)</f>
        <v>0</v>
      </c>
      <c r="AB160" s="77">
        <f>IF(AO160="7",BF160,0)</f>
        <v>0</v>
      </c>
      <c r="AC160" s="77">
        <f>IF(AO160="7",BG160,0)</f>
        <v>0</v>
      </c>
      <c r="AD160" s="77">
        <f>IF(AO160="2",BF160,0)</f>
        <v>0</v>
      </c>
      <c r="AE160" s="77">
        <f>IF(AO160="2",BG160,0)</f>
        <v>0</v>
      </c>
      <c r="AF160" s="77">
        <f>IF(AO160="0",BH160,0)</f>
        <v>0</v>
      </c>
      <c r="AG160" s="71" t="s">
        <v>129</v>
      </c>
      <c r="AH160" s="77">
        <f>IF(AL160=0,J160,0)</f>
        <v>0</v>
      </c>
      <c r="AI160" s="77">
        <f>IF(AL160=15,J160,0)</f>
        <v>0</v>
      </c>
      <c r="AJ160" s="77">
        <f>IF(AL160=21,J160,0)</f>
        <v>0</v>
      </c>
      <c r="AL160" s="77">
        <v>15</v>
      </c>
      <c r="AM160" s="77">
        <f>G160*1</f>
        <v>0</v>
      </c>
      <c r="AN160" s="77">
        <f>G160*(1-1)</f>
        <v>0</v>
      </c>
      <c r="AO160" s="79" t="s">
        <v>130</v>
      </c>
      <c r="AT160" s="77">
        <f>AU160+AV160</f>
        <v>0</v>
      </c>
      <c r="AU160" s="77">
        <f>F160*AM160</f>
        <v>0</v>
      </c>
      <c r="AV160" s="77">
        <f>F160*AN160</f>
        <v>0</v>
      </c>
      <c r="AW160" s="79" t="s">
        <v>416</v>
      </c>
      <c r="AX160" s="79" t="s">
        <v>417</v>
      </c>
      <c r="AY160" s="71" t="s">
        <v>137</v>
      </c>
      <c r="BA160" s="77">
        <f>AU160+AV160</f>
        <v>0</v>
      </c>
      <c r="BB160" s="77">
        <f>G160/(100-BC160)*100</f>
        <v>0</v>
      </c>
      <c r="BC160" s="77">
        <v>0</v>
      </c>
      <c r="BD160" s="77">
        <f>L160</f>
        <v>0.24</v>
      </c>
      <c r="BF160" s="77">
        <f>F160*AM160</f>
        <v>0</v>
      </c>
      <c r="BG160" s="77">
        <f>F160*AN160</f>
        <v>0</v>
      </c>
      <c r="BH160" s="77">
        <f>F160*G160</f>
        <v>0</v>
      </c>
      <c r="BI160" s="77"/>
      <c r="BJ160" s="77"/>
      <c r="BU160" s="77" t="e">
        <f>#REF!</f>
        <v>#REF!</v>
      </c>
      <c r="BV160" s="70" t="s">
        <v>893</v>
      </c>
    </row>
    <row r="161" spans="1:74" ht="67.5" customHeight="1" x14ac:dyDescent="0.25">
      <c r="A161" s="104"/>
      <c r="B161" s="81" t="s">
        <v>138</v>
      </c>
      <c r="C161" s="303" t="s">
        <v>888</v>
      </c>
      <c r="D161" s="304"/>
      <c r="E161" s="304"/>
      <c r="F161" s="304"/>
      <c r="G161" s="304"/>
      <c r="H161" s="304"/>
      <c r="I161" s="304"/>
      <c r="J161" s="304"/>
      <c r="K161" s="304"/>
      <c r="L161" s="304"/>
      <c r="M161" s="305"/>
    </row>
    <row r="162" spans="1:74" x14ac:dyDescent="0.25">
      <c r="A162" s="92" t="s">
        <v>452</v>
      </c>
      <c r="B162" s="69" t="s">
        <v>422</v>
      </c>
      <c r="C162" s="306" t="s">
        <v>423</v>
      </c>
      <c r="D162" s="307"/>
      <c r="E162" s="69" t="s">
        <v>325</v>
      </c>
      <c r="F162" s="77">
        <v>1</v>
      </c>
      <c r="G162" s="218">
        <v>0</v>
      </c>
      <c r="H162" s="77">
        <f>F162*AM162</f>
        <v>0</v>
      </c>
      <c r="I162" s="77">
        <f>F162*AN162</f>
        <v>0</v>
      </c>
      <c r="J162" s="77">
        <f>F162*G162</f>
        <v>0</v>
      </c>
      <c r="K162" s="77">
        <v>6.13E-3</v>
      </c>
      <c r="L162" s="77">
        <f>F162*K162</f>
        <v>6.13E-3</v>
      </c>
      <c r="M162" s="103" t="s">
        <v>35</v>
      </c>
      <c r="X162" s="77">
        <f>IF(AO162="5",BH162,0)</f>
        <v>0</v>
      </c>
      <c r="Z162" s="77">
        <f>IF(AO162="1",BF162,0)</f>
        <v>0</v>
      </c>
      <c r="AA162" s="77">
        <f>IF(AO162="1",BG162,0)</f>
        <v>0</v>
      </c>
      <c r="AB162" s="77">
        <f>IF(AO162="7",BF162,0)</f>
        <v>0</v>
      </c>
      <c r="AC162" s="77">
        <f>IF(AO162="7",BG162,0)</f>
        <v>0</v>
      </c>
      <c r="AD162" s="77">
        <f>IF(AO162="2",BF162,0)</f>
        <v>0</v>
      </c>
      <c r="AE162" s="77">
        <f>IF(AO162="2",BG162,0)</f>
        <v>0</v>
      </c>
      <c r="AF162" s="77">
        <f>IF(AO162="0",BH162,0)</f>
        <v>0</v>
      </c>
      <c r="AG162" s="71" t="s">
        <v>129</v>
      </c>
      <c r="AH162" s="77">
        <f>IF(AL162=0,J162,0)</f>
        <v>0</v>
      </c>
      <c r="AI162" s="77">
        <f>IF(AL162=15,J162,0)</f>
        <v>0</v>
      </c>
      <c r="AJ162" s="77">
        <f>IF(AL162=21,J162,0)</f>
        <v>0</v>
      </c>
      <c r="AL162" s="77">
        <v>15</v>
      </c>
      <c r="AM162" s="77">
        <f>G162*1</f>
        <v>0</v>
      </c>
      <c r="AN162" s="77">
        <f>G162*(1-1)</f>
        <v>0</v>
      </c>
      <c r="AO162" s="79" t="s">
        <v>130</v>
      </c>
      <c r="AT162" s="77">
        <f>AU162+AV162</f>
        <v>0</v>
      </c>
      <c r="AU162" s="77">
        <f>F162*AM162</f>
        <v>0</v>
      </c>
      <c r="AV162" s="77">
        <f>F162*AN162</f>
        <v>0</v>
      </c>
      <c r="AW162" s="79" t="s">
        <v>416</v>
      </c>
      <c r="AX162" s="79" t="s">
        <v>417</v>
      </c>
      <c r="AY162" s="71" t="s">
        <v>137</v>
      </c>
      <c r="BA162" s="77">
        <f>AU162+AV162</f>
        <v>0</v>
      </c>
      <c r="BB162" s="77">
        <f>G162/(100-BC162)*100</f>
        <v>0</v>
      </c>
      <c r="BC162" s="77">
        <v>0</v>
      </c>
      <c r="BD162" s="77">
        <f>L162</f>
        <v>6.13E-3</v>
      </c>
      <c r="BF162" s="77">
        <f>F162*AM162</f>
        <v>0</v>
      </c>
      <c r="BG162" s="77">
        <f>F162*AN162</f>
        <v>0</v>
      </c>
      <c r="BH162" s="77">
        <f>F162*G162</f>
        <v>0</v>
      </c>
      <c r="BI162" s="77"/>
      <c r="BJ162" s="77"/>
      <c r="BU162" s="77" t="e">
        <f>#REF!</f>
        <v>#REF!</v>
      </c>
      <c r="BV162" s="70" t="s">
        <v>423</v>
      </c>
    </row>
    <row r="163" spans="1:74" ht="40.5" customHeight="1" x14ac:dyDescent="0.25">
      <c r="A163" s="104"/>
      <c r="B163" s="81" t="s">
        <v>138</v>
      </c>
      <c r="C163" s="303" t="s">
        <v>894</v>
      </c>
      <c r="D163" s="304"/>
      <c r="E163" s="304"/>
      <c r="F163" s="304"/>
      <c r="G163" s="304"/>
      <c r="H163" s="304"/>
      <c r="I163" s="304"/>
      <c r="J163" s="304"/>
      <c r="K163" s="304"/>
      <c r="L163" s="304"/>
      <c r="M163" s="305"/>
    </row>
    <row r="164" spans="1:74" x14ac:dyDescent="0.25">
      <c r="A164" s="92" t="s">
        <v>455</v>
      </c>
      <c r="B164" s="69" t="s">
        <v>430</v>
      </c>
      <c r="C164" s="306" t="s">
        <v>431</v>
      </c>
      <c r="D164" s="307"/>
      <c r="E164" s="69" t="s">
        <v>325</v>
      </c>
      <c r="F164" s="77">
        <v>1.01</v>
      </c>
      <c r="G164" s="218">
        <v>0</v>
      </c>
      <c r="H164" s="77">
        <f>F164*AM164</f>
        <v>0</v>
      </c>
      <c r="I164" s="77">
        <f>F164*AN164</f>
        <v>0</v>
      </c>
      <c r="J164" s="77">
        <f>F164*G164</f>
        <v>0</v>
      </c>
      <c r="K164" s="77">
        <v>4.7200000000000002E-3</v>
      </c>
      <c r="L164" s="77">
        <f>F164*K164</f>
        <v>4.7672000000000001E-3</v>
      </c>
      <c r="M164" s="103" t="s">
        <v>35</v>
      </c>
      <c r="X164" s="77">
        <f>IF(AO164="5",BH164,0)</f>
        <v>0</v>
      </c>
      <c r="Z164" s="77">
        <f>IF(AO164="1",BF164,0)</f>
        <v>0</v>
      </c>
      <c r="AA164" s="77">
        <f>IF(AO164="1",BG164,0)</f>
        <v>0</v>
      </c>
      <c r="AB164" s="77">
        <f>IF(AO164="7",BF164,0)</f>
        <v>0</v>
      </c>
      <c r="AC164" s="77">
        <f>IF(AO164="7",BG164,0)</f>
        <v>0</v>
      </c>
      <c r="AD164" s="77">
        <f>IF(AO164="2",BF164,0)</f>
        <v>0</v>
      </c>
      <c r="AE164" s="77">
        <f>IF(AO164="2",BG164,0)</f>
        <v>0</v>
      </c>
      <c r="AF164" s="77">
        <f>IF(AO164="0",BH164,0)</f>
        <v>0</v>
      </c>
      <c r="AG164" s="71" t="s">
        <v>129</v>
      </c>
      <c r="AH164" s="77">
        <f>IF(AL164=0,J164,0)</f>
        <v>0</v>
      </c>
      <c r="AI164" s="77">
        <f>IF(AL164=15,J164,0)</f>
        <v>0</v>
      </c>
      <c r="AJ164" s="77">
        <f>IF(AL164=21,J164,0)</f>
        <v>0</v>
      </c>
      <c r="AL164" s="77">
        <v>15</v>
      </c>
      <c r="AM164" s="77">
        <f>G164*1</f>
        <v>0</v>
      </c>
      <c r="AN164" s="77">
        <f>G164*(1-1)</f>
        <v>0</v>
      </c>
      <c r="AO164" s="79" t="s">
        <v>130</v>
      </c>
      <c r="AT164" s="77">
        <f>AU164+AV164</f>
        <v>0</v>
      </c>
      <c r="AU164" s="77">
        <f>F164*AM164</f>
        <v>0</v>
      </c>
      <c r="AV164" s="77">
        <f>F164*AN164</f>
        <v>0</v>
      </c>
      <c r="AW164" s="79" t="s">
        <v>416</v>
      </c>
      <c r="AX164" s="79" t="s">
        <v>417</v>
      </c>
      <c r="AY164" s="71" t="s">
        <v>137</v>
      </c>
      <c r="BA164" s="77">
        <f>AU164+AV164</f>
        <v>0</v>
      </c>
      <c r="BB164" s="77">
        <f>G164/(100-BC164)*100</f>
        <v>0</v>
      </c>
      <c r="BC164" s="77">
        <v>0</v>
      </c>
      <c r="BD164" s="77">
        <f>L164</f>
        <v>4.7672000000000001E-3</v>
      </c>
      <c r="BF164" s="77">
        <f>F164*AM164</f>
        <v>0</v>
      </c>
      <c r="BG164" s="77">
        <f>F164*AN164</f>
        <v>0</v>
      </c>
      <c r="BH164" s="77">
        <f>F164*G164</f>
        <v>0</v>
      </c>
      <c r="BI164" s="77"/>
      <c r="BJ164" s="77"/>
      <c r="BU164" s="77" t="e">
        <f>#REF!</f>
        <v>#REF!</v>
      </c>
      <c r="BV164" s="70" t="s">
        <v>431</v>
      </c>
    </row>
    <row r="165" spans="1:74" ht="54" customHeight="1" x14ac:dyDescent="0.25">
      <c r="A165" s="104"/>
      <c r="B165" s="81" t="s">
        <v>138</v>
      </c>
      <c r="C165" s="303" t="s">
        <v>432</v>
      </c>
      <c r="D165" s="304"/>
      <c r="E165" s="304"/>
      <c r="F165" s="304"/>
      <c r="G165" s="304"/>
      <c r="H165" s="304"/>
      <c r="I165" s="304"/>
      <c r="J165" s="304"/>
      <c r="K165" s="304"/>
      <c r="L165" s="304"/>
      <c r="M165" s="305"/>
    </row>
    <row r="166" spans="1:74" x14ac:dyDescent="0.25">
      <c r="A166" s="92" t="s">
        <v>458</v>
      </c>
      <c r="B166" s="69" t="s">
        <v>434</v>
      </c>
      <c r="C166" s="306" t="s">
        <v>435</v>
      </c>
      <c r="D166" s="307"/>
      <c r="E166" s="69" t="s">
        <v>325</v>
      </c>
      <c r="F166" s="77">
        <v>1.01</v>
      </c>
      <c r="G166" s="218">
        <v>0</v>
      </c>
      <c r="H166" s="77">
        <f>F166*AM166</f>
        <v>0</v>
      </c>
      <c r="I166" s="77">
        <f>F166*AN166</f>
        <v>0</v>
      </c>
      <c r="J166" s="77">
        <f>F166*G166</f>
        <v>0</v>
      </c>
      <c r="K166" s="77">
        <v>4.2100000000000002E-3</v>
      </c>
      <c r="L166" s="77">
        <f>F166*K166</f>
        <v>4.2521E-3</v>
      </c>
      <c r="M166" s="103" t="s">
        <v>35</v>
      </c>
      <c r="X166" s="77">
        <f>IF(AO166="5",BH166,0)</f>
        <v>0</v>
      </c>
      <c r="Z166" s="77">
        <f>IF(AO166="1",BF166,0)</f>
        <v>0</v>
      </c>
      <c r="AA166" s="77">
        <f>IF(AO166="1",BG166,0)</f>
        <v>0</v>
      </c>
      <c r="AB166" s="77">
        <f>IF(AO166="7",BF166,0)</f>
        <v>0</v>
      </c>
      <c r="AC166" s="77">
        <f>IF(AO166="7",BG166,0)</f>
        <v>0</v>
      </c>
      <c r="AD166" s="77">
        <f>IF(AO166="2",BF166,0)</f>
        <v>0</v>
      </c>
      <c r="AE166" s="77">
        <f>IF(AO166="2",BG166,0)</f>
        <v>0</v>
      </c>
      <c r="AF166" s="77">
        <f>IF(AO166="0",BH166,0)</f>
        <v>0</v>
      </c>
      <c r="AG166" s="71" t="s">
        <v>129</v>
      </c>
      <c r="AH166" s="77">
        <f>IF(AL166=0,J166,0)</f>
        <v>0</v>
      </c>
      <c r="AI166" s="77">
        <f>IF(AL166=15,J166,0)</f>
        <v>0</v>
      </c>
      <c r="AJ166" s="77">
        <f>IF(AL166=21,J166,0)</f>
        <v>0</v>
      </c>
      <c r="AL166" s="77">
        <v>15</v>
      </c>
      <c r="AM166" s="77">
        <f>G166*1</f>
        <v>0</v>
      </c>
      <c r="AN166" s="77">
        <f>G166*(1-1)</f>
        <v>0</v>
      </c>
      <c r="AO166" s="79" t="s">
        <v>130</v>
      </c>
      <c r="AT166" s="77">
        <f>AU166+AV166</f>
        <v>0</v>
      </c>
      <c r="AU166" s="77">
        <f>F166*AM166</f>
        <v>0</v>
      </c>
      <c r="AV166" s="77">
        <f>F166*AN166</f>
        <v>0</v>
      </c>
      <c r="AW166" s="79" t="s">
        <v>416</v>
      </c>
      <c r="AX166" s="79" t="s">
        <v>417</v>
      </c>
      <c r="AY166" s="71" t="s">
        <v>137</v>
      </c>
      <c r="BA166" s="77">
        <f>AU166+AV166</f>
        <v>0</v>
      </c>
      <c r="BB166" s="77">
        <f>G166/(100-BC166)*100</f>
        <v>0</v>
      </c>
      <c r="BC166" s="77">
        <v>0</v>
      </c>
      <c r="BD166" s="77">
        <f>L166</f>
        <v>4.2521E-3</v>
      </c>
      <c r="BF166" s="77">
        <f>F166*AM166</f>
        <v>0</v>
      </c>
      <c r="BG166" s="77">
        <f>F166*AN166</f>
        <v>0</v>
      </c>
      <c r="BH166" s="77">
        <f>F166*G166</f>
        <v>0</v>
      </c>
      <c r="BI166" s="77"/>
      <c r="BJ166" s="77"/>
      <c r="BU166" s="77" t="e">
        <f>#REF!</f>
        <v>#REF!</v>
      </c>
      <c r="BV166" s="70" t="s">
        <v>435</v>
      </c>
    </row>
    <row r="167" spans="1:74" ht="54" customHeight="1" x14ac:dyDescent="0.25">
      <c r="A167" s="104"/>
      <c r="B167" s="81" t="s">
        <v>138</v>
      </c>
      <c r="C167" s="303" t="s">
        <v>895</v>
      </c>
      <c r="D167" s="304"/>
      <c r="E167" s="304"/>
      <c r="F167" s="304"/>
      <c r="G167" s="304"/>
      <c r="H167" s="304"/>
      <c r="I167" s="304"/>
      <c r="J167" s="304"/>
      <c r="K167" s="304"/>
      <c r="L167" s="304"/>
      <c r="M167" s="305"/>
    </row>
    <row r="168" spans="1:74" x14ac:dyDescent="0.25">
      <c r="A168" s="92" t="s">
        <v>461</v>
      </c>
      <c r="B168" s="69" t="s">
        <v>438</v>
      </c>
      <c r="C168" s="306" t="s">
        <v>439</v>
      </c>
      <c r="D168" s="307"/>
      <c r="E168" s="69" t="s">
        <v>325</v>
      </c>
      <c r="F168" s="77">
        <v>1.01</v>
      </c>
      <c r="G168" s="218">
        <v>0</v>
      </c>
      <c r="H168" s="77">
        <f>F168*AM168</f>
        <v>0</v>
      </c>
      <c r="I168" s="77">
        <f>F168*AN168</f>
        <v>0</v>
      </c>
      <c r="J168" s="77">
        <f>F168*G168</f>
        <v>0</v>
      </c>
      <c r="K168" s="77">
        <v>3.7299999999999998E-3</v>
      </c>
      <c r="L168" s="77">
        <f>F168*K168</f>
        <v>3.7672999999999999E-3</v>
      </c>
      <c r="M168" s="103" t="s">
        <v>35</v>
      </c>
      <c r="X168" s="77">
        <f>IF(AO168="5",BH168,0)</f>
        <v>0</v>
      </c>
      <c r="Z168" s="77">
        <f>IF(AO168="1",BF168,0)</f>
        <v>0</v>
      </c>
      <c r="AA168" s="77">
        <f>IF(AO168="1",BG168,0)</f>
        <v>0</v>
      </c>
      <c r="AB168" s="77">
        <f>IF(AO168="7",BF168,0)</f>
        <v>0</v>
      </c>
      <c r="AC168" s="77">
        <f>IF(AO168="7",BG168,0)</f>
        <v>0</v>
      </c>
      <c r="AD168" s="77">
        <f>IF(AO168="2",BF168,0)</f>
        <v>0</v>
      </c>
      <c r="AE168" s="77">
        <f>IF(AO168="2",BG168,0)</f>
        <v>0</v>
      </c>
      <c r="AF168" s="77">
        <f>IF(AO168="0",BH168,0)</f>
        <v>0</v>
      </c>
      <c r="AG168" s="71" t="s">
        <v>129</v>
      </c>
      <c r="AH168" s="77">
        <f>IF(AL168=0,J168,0)</f>
        <v>0</v>
      </c>
      <c r="AI168" s="77">
        <f>IF(AL168=15,J168,0)</f>
        <v>0</v>
      </c>
      <c r="AJ168" s="77">
        <f>IF(AL168=21,J168,0)</f>
        <v>0</v>
      </c>
      <c r="AL168" s="77">
        <v>15</v>
      </c>
      <c r="AM168" s="77">
        <f>G168*1</f>
        <v>0</v>
      </c>
      <c r="AN168" s="77">
        <f>G168*(1-1)</f>
        <v>0</v>
      </c>
      <c r="AO168" s="79" t="s">
        <v>130</v>
      </c>
      <c r="AT168" s="77">
        <f>AU168+AV168</f>
        <v>0</v>
      </c>
      <c r="AU168" s="77">
        <f>F168*AM168</f>
        <v>0</v>
      </c>
      <c r="AV168" s="77">
        <f>F168*AN168</f>
        <v>0</v>
      </c>
      <c r="AW168" s="79" t="s">
        <v>416</v>
      </c>
      <c r="AX168" s="79" t="s">
        <v>417</v>
      </c>
      <c r="AY168" s="71" t="s">
        <v>137</v>
      </c>
      <c r="BA168" s="77">
        <f>AU168+AV168</f>
        <v>0</v>
      </c>
      <c r="BB168" s="77">
        <f>G168/(100-BC168)*100</f>
        <v>0</v>
      </c>
      <c r="BC168" s="77">
        <v>0</v>
      </c>
      <c r="BD168" s="77">
        <f>L168</f>
        <v>3.7672999999999999E-3</v>
      </c>
      <c r="BF168" s="77">
        <f>F168*AM168</f>
        <v>0</v>
      </c>
      <c r="BG168" s="77">
        <f>F168*AN168</f>
        <v>0</v>
      </c>
      <c r="BH168" s="77">
        <f>F168*G168</f>
        <v>0</v>
      </c>
      <c r="BI168" s="77"/>
      <c r="BJ168" s="77"/>
      <c r="BU168" s="77" t="e">
        <f>#REF!</f>
        <v>#REF!</v>
      </c>
      <c r="BV168" s="70" t="s">
        <v>439</v>
      </c>
    </row>
    <row r="169" spans="1:74" ht="54" customHeight="1" x14ac:dyDescent="0.25">
      <c r="A169" s="104"/>
      <c r="B169" s="81" t="s">
        <v>138</v>
      </c>
      <c r="C169" s="303" t="s">
        <v>896</v>
      </c>
      <c r="D169" s="304"/>
      <c r="E169" s="304"/>
      <c r="F169" s="304"/>
      <c r="G169" s="304"/>
      <c r="H169" s="304"/>
      <c r="I169" s="304"/>
      <c r="J169" s="304"/>
      <c r="K169" s="304"/>
      <c r="L169" s="304"/>
      <c r="M169" s="305"/>
    </row>
    <row r="170" spans="1:74" x14ac:dyDescent="0.25">
      <c r="A170" s="92" t="s">
        <v>464</v>
      </c>
      <c r="B170" s="69" t="s">
        <v>442</v>
      </c>
      <c r="C170" s="306" t="s">
        <v>443</v>
      </c>
      <c r="D170" s="307"/>
      <c r="E170" s="69" t="s">
        <v>325</v>
      </c>
      <c r="F170" s="77">
        <v>2.0299999999999998</v>
      </c>
      <c r="G170" s="218">
        <v>0</v>
      </c>
      <c r="H170" s="77">
        <f>F170*AM170</f>
        <v>0</v>
      </c>
      <c r="I170" s="77">
        <f>F170*AN170</f>
        <v>0</v>
      </c>
      <c r="J170" s="77">
        <f>F170*G170</f>
        <v>0</v>
      </c>
      <c r="K170" s="77">
        <v>4.1999999999999997E-3</v>
      </c>
      <c r="L170" s="77">
        <f>F170*K170</f>
        <v>8.5259999999999989E-3</v>
      </c>
      <c r="M170" s="103" t="s">
        <v>35</v>
      </c>
      <c r="X170" s="77">
        <f>IF(AO170="5",BH170,0)</f>
        <v>0</v>
      </c>
      <c r="Z170" s="77">
        <f>IF(AO170="1",BF170,0)</f>
        <v>0</v>
      </c>
      <c r="AA170" s="77">
        <f>IF(AO170="1",BG170,0)</f>
        <v>0</v>
      </c>
      <c r="AB170" s="77">
        <f>IF(AO170="7",BF170,0)</f>
        <v>0</v>
      </c>
      <c r="AC170" s="77">
        <f>IF(AO170="7",BG170,0)</f>
        <v>0</v>
      </c>
      <c r="AD170" s="77">
        <f>IF(AO170="2",BF170,0)</f>
        <v>0</v>
      </c>
      <c r="AE170" s="77">
        <f>IF(AO170="2",BG170,0)</f>
        <v>0</v>
      </c>
      <c r="AF170" s="77">
        <f>IF(AO170="0",BH170,0)</f>
        <v>0</v>
      </c>
      <c r="AG170" s="71" t="s">
        <v>129</v>
      </c>
      <c r="AH170" s="77">
        <f>IF(AL170=0,J170,0)</f>
        <v>0</v>
      </c>
      <c r="AI170" s="77">
        <f>IF(AL170=15,J170,0)</f>
        <v>0</v>
      </c>
      <c r="AJ170" s="77">
        <f>IF(AL170=21,J170,0)</f>
        <v>0</v>
      </c>
      <c r="AL170" s="77">
        <v>15</v>
      </c>
      <c r="AM170" s="77">
        <f>G170*1</f>
        <v>0</v>
      </c>
      <c r="AN170" s="77">
        <f>G170*(1-1)</f>
        <v>0</v>
      </c>
      <c r="AO170" s="79" t="s">
        <v>130</v>
      </c>
      <c r="AT170" s="77">
        <f>AU170+AV170</f>
        <v>0</v>
      </c>
      <c r="AU170" s="77">
        <f>F170*AM170</f>
        <v>0</v>
      </c>
      <c r="AV170" s="77">
        <f>F170*AN170</f>
        <v>0</v>
      </c>
      <c r="AW170" s="79" t="s">
        <v>416</v>
      </c>
      <c r="AX170" s="79" t="s">
        <v>417</v>
      </c>
      <c r="AY170" s="71" t="s">
        <v>137</v>
      </c>
      <c r="BA170" s="77">
        <f>AU170+AV170</f>
        <v>0</v>
      </c>
      <c r="BB170" s="77">
        <f>G170/(100-BC170)*100</f>
        <v>0</v>
      </c>
      <c r="BC170" s="77">
        <v>0</v>
      </c>
      <c r="BD170" s="77">
        <f>L170</f>
        <v>8.5259999999999989E-3</v>
      </c>
      <c r="BF170" s="77">
        <f>F170*AM170</f>
        <v>0</v>
      </c>
      <c r="BG170" s="77">
        <f>F170*AN170</f>
        <v>0</v>
      </c>
      <c r="BH170" s="77">
        <f>F170*G170</f>
        <v>0</v>
      </c>
      <c r="BI170" s="77"/>
      <c r="BJ170" s="77"/>
      <c r="BU170" s="77" t="e">
        <f>#REF!</f>
        <v>#REF!</v>
      </c>
      <c r="BV170" s="70" t="s">
        <v>443</v>
      </c>
    </row>
    <row r="171" spans="1:74" ht="54" customHeight="1" x14ac:dyDescent="0.25">
      <c r="A171" s="104"/>
      <c r="B171" s="81" t="s">
        <v>138</v>
      </c>
      <c r="C171" s="303" t="s">
        <v>897</v>
      </c>
      <c r="D171" s="304"/>
      <c r="E171" s="304"/>
      <c r="F171" s="304"/>
      <c r="G171" s="304"/>
      <c r="H171" s="304"/>
      <c r="I171" s="304"/>
      <c r="J171" s="304"/>
      <c r="K171" s="304"/>
      <c r="L171" s="304"/>
      <c r="M171" s="305"/>
    </row>
    <row r="172" spans="1:74" x14ac:dyDescent="0.25">
      <c r="A172" s="92" t="s">
        <v>467</v>
      </c>
      <c r="B172" s="69" t="s">
        <v>453</v>
      </c>
      <c r="C172" s="306" t="s">
        <v>454</v>
      </c>
      <c r="D172" s="307"/>
      <c r="E172" s="69" t="s">
        <v>325</v>
      </c>
      <c r="F172" s="77">
        <v>1</v>
      </c>
      <c r="G172" s="218">
        <v>0</v>
      </c>
      <c r="H172" s="77">
        <f>F172*AM172</f>
        <v>0</v>
      </c>
      <c r="I172" s="77">
        <f>F172*AN172</f>
        <v>0</v>
      </c>
      <c r="J172" s="77">
        <f>F172*G172</f>
        <v>0</v>
      </c>
      <c r="K172" s="77">
        <v>5.3999999999999999E-2</v>
      </c>
      <c r="L172" s="77">
        <f>F172*K172</f>
        <v>5.3999999999999999E-2</v>
      </c>
      <c r="M172" s="103" t="s">
        <v>35</v>
      </c>
      <c r="X172" s="77">
        <f>IF(AO172="5",BH172,0)</f>
        <v>0</v>
      </c>
      <c r="Z172" s="77">
        <f>IF(AO172="1",BF172,0)</f>
        <v>0</v>
      </c>
      <c r="AA172" s="77">
        <f>IF(AO172="1",BG172,0)</f>
        <v>0</v>
      </c>
      <c r="AB172" s="77">
        <f>IF(AO172="7",BF172,0)</f>
        <v>0</v>
      </c>
      <c r="AC172" s="77">
        <f>IF(AO172="7",BG172,0)</f>
        <v>0</v>
      </c>
      <c r="AD172" s="77">
        <f>IF(AO172="2",BF172,0)</f>
        <v>0</v>
      </c>
      <c r="AE172" s="77">
        <f>IF(AO172="2",BG172,0)</f>
        <v>0</v>
      </c>
      <c r="AF172" s="77">
        <f>IF(AO172="0",BH172,0)</f>
        <v>0</v>
      </c>
      <c r="AG172" s="71" t="s">
        <v>129</v>
      </c>
      <c r="AH172" s="77">
        <f>IF(AL172=0,J172,0)</f>
        <v>0</v>
      </c>
      <c r="AI172" s="77">
        <f>IF(AL172=15,J172,0)</f>
        <v>0</v>
      </c>
      <c r="AJ172" s="77">
        <f>IF(AL172=21,J172,0)</f>
        <v>0</v>
      </c>
      <c r="AL172" s="77">
        <v>15</v>
      </c>
      <c r="AM172" s="77">
        <f>G172*1</f>
        <v>0</v>
      </c>
      <c r="AN172" s="77">
        <f>G172*(1-1)</f>
        <v>0</v>
      </c>
      <c r="AO172" s="79" t="s">
        <v>130</v>
      </c>
      <c r="AT172" s="77">
        <f>AU172+AV172</f>
        <v>0</v>
      </c>
      <c r="AU172" s="77">
        <f>F172*AM172</f>
        <v>0</v>
      </c>
      <c r="AV172" s="77">
        <f>F172*AN172</f>
        <v>0</v>
      </c>
      <c r="AW172" s="79" t="s">
        <v>416</v>
      </c>
      <c r="AX172" s="79" t="s">
        <v>417</v>
      </c>
      <c r="AY172" s="71" t="s">
        <v>137</v>
      </c>
      <c r="BA172" s="77">
        <f>AU172+AV172</f>
        <v>0</v>
      </c>
      <c r="BB172" s="77">
        <f>G172/(100-BC172)*100</f>
        <v>0</v>
      </c>
      <c r="BC172" s="77">
        <v>0</v>
      </c>
      <c r="BD172" s="77">
        <f>L172</f>
        <v>5.3999999999999999E-2</v>
      </c>
      <c r="BF172" s="77">
        <f>F172*AM172</f>
        <v>0</v>
      </c>
      <c r="BG172" s="77">
        <f>F172*AN172</f>
        <v>0</v>
      </c>
      <c r="BH172" s="77">
        <f>F172*G172</f>
        <v>0</v>
      </c>
      <c r="BI172" s="77"/>
      <c r="BJ172" s="77"/>
      <c r="BU172" s="77" t="e">
        <f>#REF!</f>
        <v>#REF!</v>
      </c>
      <c r="BV172" s="70" t="s">
        <v>454</v>
      </c>
    </row>
    <row r="173" spans="1:74" x14ac:dyDescent="0.25">
      <c r="A173" s="92" t="s">
        <v>471</v>
      </c>
      <c r="B173" s="69" t="s">
        <v>456</v>
      </c>
      <c r="C173" s="306" t="s">
        <v>457</v>
      </c>
      <c r="D173" s="307"/>
      <c r="E173" s="69" t="s">
        <v>325</v>
      </c>
      <c r="F173" s="77">
        <v>1</v>
      </c>
      <c r="G173" s="218">
        <v>0</v>
      </c>
      <c r="H173" s="77">
        <f>F173*AM173</f>
        <v>0</v>
      </c>
      <c r="I173" s="77">
        <f>F173*AN173</f>
        <v>0</v>
      </c>
      <c r="J173" s="77">
        <f>F173*G173</f>
        <v>0</v>
      </c>
      <c r="K173" s="77">
        <v>0.58499999999999996</v>
      </c>
      <c r="L173" s="77">
        <f>F173*K173</f>
        <v>0.58499999999999996</v>
      </c>
      <c r="M173" s="103" t="s">
        <v>35</v>
      </c>
      <c r="X173" s="77">
        <f>IF(AO173="5",BH173,0)</f>
        <v>0</v>
      </c>
      <c r="Z173" s="77">
        <f>IF(AO173="1",BF173,0)</f>
        <v>0</v>
      </c>
      <c r="AA173" s="77">
        <f>IF(AO173="1",BG173,0)</f>
        <v>0</v>
      </c>
      <c r="AB173" s="77">
        <f>IF(AO173="7",BF173,0)</f>
        <v>0</v>
      </c>
      <c r="AC173" s="77">
        <f>IF(AO173="7",BG173,0)</f>
        <v>0</v>
      </c>
      <c r="AD173" s="77">
        <f>IF(AO173="2",BF173,0)</f>
        <v>0</v>
      </c>
      <c r="AE173" s="77">
        <f>IF(AO173="2",BG173,0)</f>
        <v>0</v>
      </c>
      <c r="AF173" s="77">
        <f>IF(AO173="0",BH173,0)</f>
        <v>0</v>
      </c>
      <c r="AG173" s="71" t="s">
        <v>129</v>
      </c>
      <c r="AH173" s="77">
        <f>IF(AL173=0,J173,0)</f>
        <v>0</v>
      </c>
      <c r="AI173" s="77">
        <f>IF(AL173=15,J173,0)</f>
        <v>0</v>
      </c>
      <c r="AJ173" s="77">
        <f>IF(AL173=21,J173,0)</f>
        <v>0</v>
      </c>
      <c r="AL173" s="77">
        <v>15</v>
      </c>
      <c r="AM173" s="77">
        <f>G173*1</f>
        <v>0</v>
      </c>
      <c r="AN173" s="77">
        <f>G173*(1-1)</f>
        <v>0</v>
      </c>
      <c r="AO173" s="79" t="s">
        <v>130</v>
      </c>
      <c r="AT173" s="77">
        <f>AU173+AV173</f>
        <v>0</v>
      </c>
      <c r="AU173" s="77">
        <f>F173*AM173</f>
        <v>0</v>
      </c>
      <c r="AV173" s="77">
        <f>F173*AN173</f>
        <v>0</v>
      </c>
      <c r="AW173" s="79" t="s">
        <v>416</v>
      </c>
      <c r="AX173" s="79" t="s">
        <v>417</v>
      </c>
      <c r="AY173" s="71" t="s">
        <v>137</v>
      </c>
      <c r="BA173" s="77">
        <f>AU173+AV173</f>
        <v>0</v>
      </c>
      <c r="BB173" s="77">
        <f>G173/(100-BC173)*100</f>
        <v>0</v>
      </c>
      <c r="BC173" s="77">
        <v>0</v>
      </c>
      <c r="BD173" s="77">
        <f>L173</f>
        <v>0.58499999999999996</v>
      </c>
      <c r="BF173" s="77">
        <f>F173*AM173</f>
        <v>0</v>
      </c>
      <c r="BG173" s="77">
        <f>F173*AN173</f>
        <v>0</v>
      </c>
      <c r="BH173" s="77">
        <f>F173*G173</f>
        <v>0</v>
      </c>
      <c r="BI173" s="77"/>
      <c r="BJ173" s="77"/>
      <c r="BU173" s="77" t="e">
        <f>#REF!</f>
        <v>#REF!</v>
      </c>
      <c r="BV173" s="70" t="s">
        <v>457</v>
      </c>
    </row>
    <row r="174" spans="1:74" x14ac:dyDescent="0.25">
      <c r="A174" s="92" t="s">
        <v>633</v>
      </c>
      <c r="B174" s="69" t="s">
        <v>898</v>
      </c>
      <c r="C174" s="306" t="s">
        <v>899</v>
      </c>
      <c r="D174" s="307"/>
      <c r="E174" s="69" t="s">
        <v>325</v>
      </c>
      <c r="F174" s="77">
        <v>1</v>
      </c>
      <c r="G174" s="218">
        <v>0</v>
      </c>
      <c r="H174" s="77">
        <f>F174*AM174</f>
        <v>0</v>
      </c>
      <c r="I174" s="77">
        <f>F174*AN174</f>
        <v>0</v>
      </c>
      <c r="J174" s="77">
        <f>F174*G174</f>
        <v>0</v>
      </c>
      <c r="K174" s="77">
        <v>2.1</v>
      </c>
      <c r="L174" s="77">
        <f>F174*K174</f>
        <v>2.1</v>
      </c>
      <c r="M174" s="103" t="s">
        <v>35</v>
      </c>
      <c r="X174" s="77">
        <f>IF(AO174="5",BH174,0)</f>
        <v>0</v>
      </c>
      <c r="Z174" s="77">
        <f>IF(AO174="1",BF174,0)</f>
        <v>0</v>
      </c>
      <c r="AA174" s="77">
        <f>IF(AO174="1",BG174,0)</f>
        <v>0</v>
      </c>
      <c r="AB174" s="77">
        <f>IF(AO174="7",BF174,0)</f>
        <v>0</v>
      </c>
      <c r="AC174" s="77">
        <f>IF(AO174="7",BG174,0)</f>
        <v>0</v>
      </c>
      <c r="AD174" s="77">
        <f>IF(AO174="2",BF174,0)</f>
        <v>0</v>
      </c>
      <c r="AE174" s="77">
        <f>IF(AO174="2",BG174,0)</f>
        <v>0</v>
      </c>
      <c r="AF174" s="77">
        <f>IF(AO174="0",BH174,0)</f>
        <v>0</v>
      </c>
      <c r="AG174" s="71" t="s">
        <v>129</v>
      </c>
      <c r="AH174" s="77">
        <f>IF(AL174=0,J174,0)</f>
        <v>0</v>
      </c>
      <c r="AI174" s="77">
        <f>IF(AL174=15,J174,0)</f>
        <v>0</v>
      </c>
      <c r="AJ174" s="77">
        <f>IF(AL174=21,J174,0)</f>
        <v>0</v>
      </c>
      <c r="AL174" s="77">
        <v>15</v>
      </c>
      <c r="AM174" s="77">
        <f>G174*1</f>
        <v>0</v>
      </c>
      <c r="AN174" s="77">
        <f>G174*(1-1)</f>
        <v>0</v>
      </c>
      <c r="AO174" s="79" t="s">
        <v>130</v>
      </c>
      <c r="AT174" s="77">
        <f>AU174+AV174</f>
        <v>0</v>
      </c>
      <c r="AU174" s="77">
        <f>F174*AM174</f>
        <v>0</v>
      </c>
      <c r="AV174" s="77">
        <f>F174*AN174</f>
        <v>0</v>
      </c>
      <c r="AW174" s="79" t="s">
        <v>416</v>
      </c>
      <c r="AX174" s="79" t="s">
        <v>417</v>
      </c>
      <c r="AY174" s="71" t="s">
        <v>137</v>
      </c>
      <c r="BA174" s="77">
        <f>AU174+AV174</f>
        <v>0</v>
      </c>
      <c r="BB174" s="77">
        <f>G174/(100-BC174)*100</f>
        <v>0</v>
      </c>
      <c r="BC174" s="77">
        <v>0</v>
      </c>
      <c r="BD174" s="77">
        <f>L174</f>
        <v>2.1</v>
      </c>
      <c r="BF174" s="77">
        <f>F174*AM174</f>
        <v>0</v>
      </c>
      <c r="BG174" s="77">
        <f>F174*AN174</f>
        <v>0</v>
      </c>
      <c r="BH174" s="77">
        <f>F174*G174</f>
        <v>0</v>
      </c>
      <c r="BI174" s="77"/>
      <c r="BJ174" s="77"/>
      <c r="BU174" s="77" t="e">
        <f>#REF!</f>
        <v>#REF!</v>
      </c>
      <c r="BV174" s="70" t="s">
        <v>899</v>
      </c>
    </row>
    <row r="175" spans="1:74" x14ac:dyDescent="0.25">
      <c r="A175" s="92" t="s">
        <v>636</v>
      </c>
      <c r="B175" s="69" t="s">
        <v>465</v>
      </c>
      <c r="C175" s="306" t="s">
        <v>466</v>
      </c>
      <c r="D175" s="307"/>
      <c r="E175" s="69" t="s">
        <v>325</v>
      </c>
      <c r="F175" s="77">
        <v>1</v>
      </c>
      <c r="G175" s="218">
        <v>0</v>
      </c>
      <c r="H175" s="77">
        <f>F175*AM175</f>
        <v>0</v>
      </c>
      <c r="I175" s="77">
        <f>F175*AN175</f>
        <v>0</v>
      </c>
      <c r="J175" s="77">
        <f>F175*G175</f>
        <v>0</v>
      </c>
      <c r="K175" s="77">
        <v>2E-3</v>
      </c>
      <c r="L175" s="77">
        <f>F175*K175</f>
        <v>2E-3</v>
      </c>
      <c r="M175" s="103" t="s">
        <v>35</v>
      </c>
      <c r="X175" s="77">
        <f>IF(AO175="5",BH175,0)</f>
        <v>0</v>
      </c>
      <c r="Z175" s="77">
        <f>IF(AO175="1",BF175,0)</f>
        <v>0</v>
      </c>
      <c r="AA175" s="77">
        <f>IF(AO175="1",BG175,0)</f>
        <v>0</v>
      </c>
      <c r="AB175" s="77">
        <f>IF(AO175="7",BF175,0)</f>
        <v>0</v>
      </c>
      <c r="AC175" s="77">
        <f>IF(AO175="7",BG175,0)</f>
        <v>0</v>
      </c>
      <c r="AD175" s="77">
        <f>IF(AO175="2",BF175,0)</f>
        <v>0</v>
      </c>
      <c r="AE175" s="77">
        <f>IF(AO175="2",BG175,0)</f>
        <v>0</v>
      </c>
      <c r="AF175" s="77">
        <f>IF(AO175="0",BH175,0)</f>
        <v>0</v>
      </c>
      <c r="AG175" s="71" t="s">
        <v>129</v>
      </c>
      <c r="AH175" s="77">
        <f>IF(AL175=0,J175,0)</f>
        <v>0</v>
      </c>
      <c r="AI175" s="77">
        <f>IF(AL175=15,J175,0)</f>
        <v>0</v>
      </c>
      <c r="AJ175" s="77">
        <f>IF(AL175=21,J175,0)</f>
        <v>0</v>
      </c>
      <c r="AL175" s="77">
        <v>15</v>
      </c>
      <c r="AM175" s="77">
        <f>G175*1</f>
        <v>0</v>
      </c>
      <c r="AN175" s="77">
        <f>G175*(1-1)</f>
        <v>0</v>
      </c>
      <c r="AO175" s="79" t="s">
        <v>130</v>
      </c>
      <c r="AT175" s="77">
        <f>AU175+AV175</f>
        <v>0</v>
      </c>
      <c r="AU175" s="77">
        <f>F175*AM175</f>
        <v>0</v>
      </c>
      <c r="AV175" s="77">
        <f>F175*AN175</f>
        <v>0</v>
      </c>
      <c r="AW175" s="79" t="s">
        <v>416</v>
      </c>
      <c r="AX175" s="79" t="s">
        <v>417</v>
      </c>
      <c r="AY175" s="71" t="s">
        <v>137</v>
      </c>
      <c r="BA175" s="77">
        <f>AU175+AV175</f>
        <v>0</v>
      </c>
      <c r="BB175" s="77">
        <f>G175/(100-BC175)*100</f>
        <v>0</v>
      </c>
      <c r="BC175" s="77">
        <v>0</v>
      </c>
      <c r="BD175" s="77">
        <f>L175</f>
        <v>2E-3</v>
      </c>
      <c r="BF175" s="77">
        <f>F175*AM175</f>
        <v>0</v>
      </c>
      <c r="BG175" s="77">
        <f>F175*AN175</f>
        <v>0</v>
      </c>
      <c r="BH175" s="77">
        <f>F175*G175</f>
        <v>0</v>
      </c>
      <c r="BI175" s="77"/>
      <c r="BJ175" s="77"/>
      <c r="BU175" s="77" t="e">
        <f>#REF!</f>
        <v>#REF!</v>
      </c>
      <c r="BV175" s="70" t="s">
        <v>466</v>
      </c>
    </row>
    <row r="176" spans="1:74" x14ac:dyDescent="0.25">
      <c r="A176" s="92" t="s">
        <v>639</v>
      </c>
      <c r="B176" s="69" t="s">
        <v>472</v>
      </c>
      <c r="C176" s="306" t="s">
        <v>473</v>
      </c>
      <c r="D176" s="307"/>
      <c r="E176" s="69" t="s">
        <v>325</v>
      </c>
      <c r="F176" s="77">
        <v>1</v>
      </c>
      <c r="G176" s="218">
        <v>0</v>
      </c>
      <c r="H176" s="77">
        <f>F176*AM176</f>
        <v>0</v>
      </c>
      <c r="I176" s="77">
        <f>F176*AN176</f>
        <v>0</v>
      </c>
      <c r="J176" s="77">
        <f>F176*G176</f>
        <v>0</v>
      </c>
      <c r="K176" s="77">
        <v>0.158</v>
      </c>
      <c r="L176" s="77">
        <f>F176*K176</f>
        <v>0.158</v>
      </c>
      <c r="M176" s="103" t="s">
        <v>35</v>
      </c>
      <c r="X176" s="77">
        <f>IF(AO176="5",BH176,0)</f>
        <v>0</v>
      </c>
      <c r="Z176" s="77">
        <f>IF(AO176="1",BF176,0)</f>
        <v>0</v>
      </c>
      <c r="AA176" s="77">
        <f>IF(AO176="1",BG176,0)</f>
        <v>0</v>
      </c>
      <c r="AB176" s="77">
        <f>IF(AO176="7",BF176,0)</f>
        <v>0</v>
      </c>
      <c r="AC176" s="77">
        <f>IF(AO176="7",BG176,0)</f>
        <v>0</v>
      </c>
      <c r="AD176" s="77">
        <f>IF(AO176="2",BF176,0)</f>
        <v>0</v>
      </c>
      <c r="AE176" s="77">
        <f>IF(AO176="2",BG176,0)</f>
        <v>0</v>
      </c>
      <c r="AF176" s="77">
        <f>IF(AO176="0",BH176,0)</f>
        <v>0</v>
      </c>
      <c r="AG176" s="71" t="s">
        <v>129</v>
      </c>
      <c r="AH176" s="77">
        <f>IF(AL176=0,J176,0)</f>
        <v>0</v>
      </c>
      <c r="AI176" s="77">
        <f>IF(AL176=15,J176,0)</f>
        <v>0</v>
      </c>
      <c r="AJ176" s="77">
        <f>IF(AL176=21,J176,0)</f>
        <v>0</v>
      </c>
      <c r="AL176" s="77">
        <v>15</v>
      </c>
      <c r="AM176" s="77">
        <f>G176*1</f>
        <v>0</v>
      </c>
      <c r="AN176" s="77">
        <f>G176*(1-1)</f>
        <v>0</v>
      </c>
      <c r="AO176" s="79" t="s">
        <v>130</v>
      </c>
      <c r="AT176" s="77">
        <f>AU176+AV176</f>
        <v>0</v>
      </c>
      <c r="AU176" s="77">
        <f>F176*AM176</f>
        <v>0</v>
      </c>
      <c r="AV176" s="77">
        <f>F176*AN176</f>
        <v>0</v>
      </c>
      <c r="AW176" s="79" t="s">
        <v>416</v>
      </c>
      <c r="AX176" s="79" t="s">
        <v>417</v>
      </c>
      <c r="AY176" s="71" t="s">
        <v>137</v>
      </c>
      <c r="BA176" s="77">
        <f>AU176+AV176</f>
        <v>0</v>
      </c>
      <c r="BB176" s="77">
        <f>G176/(100-BC176)*100</f>
        <v>0</v>
      </c>
      <c r="BC176" s="77">
        <v>0</v>
      </c>
      <c r="BD176" s="77">
        <f>L176</f>
        <v>0.158</v>
      </c>
      <c r="BF176" s="77">
        <f>F176*AM176</f>
        <v>0</v>
      </c>
      <c r="BG176" s="77">
        <f>F176*AN176</f>
        <v>0</v>
      </c>
      <c r="BH176" s="77">
        <f>F176*G176</f>
        <v>0</v>
      </c>
      <c r="BI176" s="77"/>
      <c r="BJ176" s="77"/>
      <c r="BU176" s="77" t="e">
        <f>#REF!</f>
        <v>#REF!</v>
      </c>
      <c r="BV176" s="70" t="s">
        <v>473</v>
      </c>
    </row>
    <row r="177" spans="1:74" ht="27" customHeight="1" x14ac:dyDescent="0.25">
      <c r="A177" s="104"/>
      <c r="B177" s="81" t="s">
        <v>138</v>
      </c>
      <c r="C177" s="303" t="s">
        <v>474</v>
      </c>
      <c r="D177" s="304"/>
      <c r="E177" s="304"/>
      <c r="F177" s="304"/>
      <c r="G177" s="304"/>
      <c r="H177" s="304"/>
      <c r="I177" s="304"/>
      <c r="J177" s="304"/>
      <c r="K177" s="304"/>
      <c r="L177" s="304"/>
      <c r="M177" s="305"/>
    </row>
    <row r="178" spans="1:74" x14ac:dyDescent="0.25">
      <c r="A178" s="92" t="s">
        <v>642</v>
      </c>
      <c r="B178" s="69" t="s">
        <v>900</v>
      </c>
      <c r="C178" s="306" t="s">
        <v>901</v>
      </c>
      <c r="D178" s="307"/>
      <c r="E178" s="69" t="s">
        <v>482</v>
      </c>
      <c r="F178" s="77">
        <v>2</v>
      </c>
      <c r="G178" s="218">
        <v>0</v>
      </c>
      <c r="H178" s="77">
        <f>F178*AM178</f>
        <v>0</v>
      </c>
      <c r="I178" s="77">
        <f>F178*AN178</f>
        <v>0</v>
      </c>
      <c r="J178" s="77">
        <f>F178*G178</f>
        <v>0</v>
      </c>
      <c r="K178" s="77">
        <v>2E-3</v>
      </c>
      <c r="L178" s="77">
        <f>F178*K178</f>
        <v>4.0000000000000001E-3</v>
      </c>
      <c r="M178" s="103" t="s">
        <v>35</v>
      </c>
      <c r="X178" s="77">
        <f>IF(AO178="5",BH178,0)</f>
        <v>0</v>
      </c>
      <c r="Z178" s="77">
        <f>IF(AO178="1",BF178,0)</f>
        <v>0</v>
      </c>
      <c r="AA178" s="77">
        <f>IF(AO178="1",BG178,0)</f>
        <v>0</v>
      </c>
      <c r="AB178" s="77">
        <f>IF(AO178="7",BF178,0)</f>
        <v>0</v>
      </c>
      <c r="AC178" s="77">
        <f>IF(AO178="7",BG178,0)</f>
        <v>0</v>
      </c>
      <c r="AD178" s="77">
        <f>IF(AO178="2",BF178,0)</f>
        <v>0</v>
      </c>
      <c r="AE178" s="77">
        <f>IF(AO178="2",BG178,0)</f>
        <v>0</v>
      </c>
      <c r="AF178" s="77">
        <f>IF(AO178="0",BH178,0)</f>
        <v>0</v>
      </c>
      <c r="AG178" s="71" t="s">
        <v>129</v>
      </c>
      <c r="AH178" s="77">
        <f>IF(AL178=0,J178,0)</f>
        <v>0</v>
      </c>
      <c r="AI178" s="77">
        <f>IF(AL178=15,J178,0)</f>
        <v>0</v>
      </c>
      <c r="AJ178" s="77">
        <f>IF(AL178=21,J178,0)</f>
        <v>0</v>
      </c>
      <c r="AL178" s="77">
        <v>15</v>
      </c>
      <c r="AM178" s="77">
        <f>G178*1</f>
        <v>0</v>
      </c>
      <c r="AN178" s="77">
        <f>G178*(1-1)</f>
        <v>0</v>
      </c>
      <c r="AO178" s="79" t="s">
        <v>130</v>
      </c>
      <c r="AT178" s="77">
        <f>AU178+AV178</f>
        <v>0</v>
      </c>
      <c r="AU178" s="77">
        <f>F178*AM178</f>
        <v>0</v>
      </c>
      <c r="AV178" s="77">
        <f>F178*AN178</f>
        <v>0</v>
      </c>
      <c r="AW178" s="79" t="s">
        <v>416</v>
      </c>
      <c r="AX178" s="79" t="s">
        <v>417</v>
      </c>
      <c r="AY178" s="71" t="s">
        <v>137</v>
      </c>
      <c r="BA178" s="77">
        <f>AU178+AV178</f>
        <v>0</v>
      </c>
      <c r="BB178" s="77">
        <f>G178/(100-BC178)*100</f>
        <v>0</v>
      </c>
      <c r="BC178" s="77">
        <v>0</v>
      </c>
      <c r="BD178" s="77">
        <f>L178</f>
        <v>4.0000000000000001E-3</v>
      </c>
      <c r="BF178" s="77">
        <f>F178*AM178</f>
        <v>0</v>
      </c>
      <c r="BG178" s="77">
        <f>F178*AN178</f>
        <v>0</v>
      </c>
      <c r="BH178" s="77">
        <f>F178*G178</f>
        <v>0</v>
      </c>
      <c r="BI178" s="77"/>
      <c r="BJ178" s="77"/>
      <c r="BU178" s="77" t="e">
        <f>#REF!</f>
        <v>#REF!</v>
      </c>
      <c r="BV178" s="70" t="s">
        <v>901</v>
      </c>
    </row>
    <row r="179" spans="1:74" ht="13.5" customHeight="1" thickBot="1" x14ac:dyDescent="0.3">
      <c r="A179" s="107"/>
      <c r="B179" s="108" t="s">
        <v>138</v>
      </c>
      <c r="C179" s="308" t="s">
        <v>902</v>
      </c>
      <c r="D179" s="309"/>
      <c r="E179" s="309"/>
      <c r="F179" s="309"/>
      <c r="G179" s="309"/>
      <c r="H179" s="309"/>
      <c r="I179" s="309"/>
      <c r="J179" s="309"/>
      <c r="K179" s="309"/>
      <c r="L179" s="309"/>
      <c r="M179" s="310"/>
    </row>
    <row r="180" spans="1:74" x14ac:dyDescent="0.25">
      <c r="H180" s="311" t="s">
        <v>475</v>
      </c>
      <c r="I180" s="311"/>
      <c r="J180" s="84">
        <f>ROUND(J12+J15+J18+J33+J48+J53+J66+J72+J77+J83+J86+J89+J106+J119+J138+J141+J144+J151+J155,1)</f>
        <v>0</v>
      </c>
    </row>
    <row r="181" spans="1:74" x14ac:dyDescent="0.25">
      <c r="A181" s="85" t="s">
        <v>138</v>
      </c>
    </row>
    <row r="182" spans="1:74" ht="13.5" customHeight="1" x14ac:dyDescent="0.25">
      <c r="A182" s="306" t="s">
        <v>476</v>
      </c>
      <c r="B182" s="307"/>
      <c r="C182" s="307"/>
      <c r="D182" s="307"/>
      <c r="E182" s="307"/>
      <c r="F182" s="307"/>
      <c r="G182" s="307"/>
      <c r="H182" s="307"/>
      <c r="I182" s="307"/>
      <c r="J182" s="307"/>
      <c r="K182" s="307"/>
      <c r="L182" s="307"/>
      <c r="M182" s="307"/>
    </row>
  </sheetData>
  <sheetProtection algorithmName="SHA-512" hashValue="65gpg6ruL23cmSY/JOBrlQ0PnP+Rfo4M5SOjCBkJomnIrrPE2aAbFrTzQQKTkFZGQ7KBlmVFCND24Ee5bYXwmA==" saltValue="He8gwIQQL9Y1/nwqi1dN1A==" spinCount="100000" sheet="1" formatCells="0" formatColumns="0" formatRows="0" insertColumns="0" insertRows="0" insertHyperlinks="0"/>
  <mergeCells count="199">
    <mergeCell ref="C176:D176"/>
    <mergeCell ref="C177:M177"/>
    <mergeCell ref="C178:D178"/>
    <mergeCell ref="C179:M179"/>
    <mergeCell ref="H180:I180"/>
    <mergeCell ref="A182:M182"/>
    <mergeCell ref="C170:D170"/>
    <mergeCell ref="C171:M171"/>
    <mergeCell ref="C172:D172"/>
    <mergeCell ref="C173:D173"/>
    <mergeCell ref="C174:D174"/>
    <mergeCell ref="C175:D175"/>
    <mergeCell ref="C164:D164"/>
    <mergeCell ref="C165:M165"/>
    <mergeCell ref="C166:D166"/>
    <mergeCell ref="C167:M167"/>
    <mergeCell ref="C168:D168"/>
    <mergeCell ref="C169:M169"/>
    <mergeCell ref="C158:D158"/>
    <mergeCell ref="C159:M159"/>
    <mergeCell ref="C160:D160"/>
    <mergeCell ref="C161:M161"/>
    <mergeCell ref="C162:D162"/>
    <mergeCell ref="C163:M163"/>
    <mergeCell ref="C152:D152"/>
    <mergeCell ref="C153:D153"/>
    <mergeCell ref="C154:D154"/>
    <mergeCell ref="C155:D155"/>
    <mergeCell ref="C156:D156"/>
    <mergeCell ref="C157:M157"/>
    <mergeCell ref="C146:D146"/>
    <mergeCell ref="C147:M147"/>
    <mergeCell ref="C148:D148"/>
    <mergeCell ref="C149:M149"/>
    <mergeCell ref="C150:D150"/>
    <mergeCell ref="C151:D151"/>
    <mergeCell ref="C140:M140"/>
    <mergeCell ref="C141:D141"/>
    <mergeCell ref="C142:D142"/>
    <mergeCell ref="C143:M143"/>
    <mergeCell ref="C144:D144"/>
    <mergeCell ref="C145:D145"/>
    <mergeCell ref="C134:D134"/>
    <mergeCell ref="C135:M135"/>
    <mergeCell ref="C136:D136"/>
    <mergeCell ref="C137:M137"/>
    <mergeCell ref="C138:D138"/>
    <mergeCell ref="C139:D139"/>
    <mergeCell ref="C128:D128"/>
    <mergeCell ref="C129:M129"/>
    <mergeCell ref="C130:D130"/>
    <mergeCell ref="C131:M131"/>
    <mergeCell ref="C132:D132"/>
    <mergeCell ref="C133:M133"/>
    <mergeCell ref="C122:D122"/>
    <mergeCell ref="C123:M123"/>
    <mergeCell ref="C124:D124"/>
    <mergeCell ref="C125:M125"/>
    <mergeCell ref="C126:D126"/>
    <mergeCell ref="C127:M127"/>
    <mergeCell ref="C116:M116"/>
    <mergeCell ref="C117:D117"/>
    <mergeCell ref="C118:M118"/>
    <mergeCell ref="C119:D119"/>
    <mergeCell ref="C120:D120"/>
    <mergeCell ref="C121:M121"/>
    <mergeCell ref="C110:M110"/>
    <mergeCell ref="C111:D111"/>
    <mergeCell ref="C112:M112"/>
    <mergeCell ref="C113:D113"/>
    <mergeCell ref="C114:M114"/>
    <mergeCell ref="C115:D115"/>
    <mergeCell ref="C104:D104"/>
    <mergeCell ref="C105:M105"/>
    <mergeCell ref="C106:D106"/>
    <mergeCell ref="C107:D107"/>
    <mergeCell ref="C108:M108"/>
    <mergeCell ref="C109:D109"/>
    <mergeCell ref="C98:D98"/>
    <mergeCell ref="C99:M99"/>
    <mergeCell ref="C100:D100"/>
    <mergeCell ref="C101:M101"/>
    <mergeCell ref="C102:D102"/>
    <mergeCell ref="C103:M103"/>
    <mergeCell ref="C92:D92"/>
    <mergeCell ref="C93:M93"/>
    <mergeCell ref="C94:D94"/>
    <mergeCell ref="C95:M95"/>
    <mergeCell ref="C96:D96"/>
    <mergeCell ref="C97:M97"/>
    <mergeCell ref="C86:D86"/>
    <mergeCell ref="C87:D87"/>
    <mergeCell ref="C88:M88"/>
    <mergeCell ref="C89:D89"/>
    <mergeCell ref="C90:D90"/>
    <mergeCell ref="C91:M91"/>
    <mergeCell ref="C80:D80"/>
    <mergeCell ref="C81:M81"/>
    <mergeCell ref="C82:D82"/>
    <mergeCell ref="C83:D83"/>
    <mergeCell ref="C84:D84"/>
    <mergeCell ref="C85:M85"/>
    <mergeCell ref="C74:M74"/>
    <mergeCell ref="C75:D75"/>
    <mergeCell ref="C76:M76"/>
    <mergeCell ref="C77:D77"/>
    <mergeCell ref="C78:D78"/>
    <mergeCell ref="C79:M79"/>
    <mergeCell ref="C68:M68"/>
    <mergeCell ref="C69:D69"/>
    <mergeCell ref="C70:D70"/>
    <mergeCell ref="C71:M71"/>
    <mergeCell ref="C72:D72"/>
    <mergeCell ref="C73:D73"/>
    <mergeCell ref="C62:D62"/>
    <mergeCell ref="C63:M63"/>
    <mergeCell ref="C64:D64"/>
    <mergeCell ref="C65:M65"/>
    <mergeCell ref="C66:D66"/>
    <mergeCell ref="C67:D67"/>
    <mergeCell ref="C56:D56"/>
    <mergeCell ref="C57:M57"/>
    <mergeCell ref="C58:D58"/>
    <mergeCell ref="C59:M59"/>
    <mergeCell ref="C60:D60"/>
    <mergeCell ref="C61:M61"/>
    <mergeCell ref="C50:M50"/>
    <mergeCell ref="C51:D51"/>
    <mergeCell ref="C52:M52"/>
    <mergeCell ref="C53:D53"/>
    <mergeCell ref="C54:D54"/>
    <mergeCell ref="C55:M55"/>
    <mergeCell ref="C44:D44"/>
    <mergeCell ref="C45:M45"/>
    <mergeCell ref="C46:D46"/>
    <mergeCell ref="C47:M47"/>
    <mergeCell ref="C48:D48"/>
    <mergeCell ref="C49:D49"/>
    <mergeCell ref="C38:D38"/>
    <mergeCell ref="C39:M39"/>
    <mergeCell ref="C40:D40"/>
    <mergeCell ref="C41:M41"/>
    <mergeCell ref="C42:D42"/>
    <mergeCell ref="C43:M43"/>
    <mergeCell ref="C32:M32"/>
    <mergeCell ref="C33:D33"/>
    <mergeCell ref="C34:D34"/>
    <mergeCell ref="C35:M35"/>
    <mergeCell ref="C36:D36"/>
    <mergeCell ref="C37:M37"/>
    <mergeCell ref="C26:M26"/>
    <mergeCell ref="C27:D27"/>
    <mergeCell ref="C28:M28"/>
    <mergeCell ref="C29:D29"/>
    <mergeCell ref="C30:M30"/>
    <mergeCell ref="C31:D31"/>
    <mergeCell ref="C20:M20"/>
    <mergeCell ref="C21:D21"/>
    <mergeCell ref="C22:M22"/>
    <mergeCell ref="C23:D23"/>
    <mergeCell ref="C24:M24"/>
    <mergeCell ref="C25:D25"/>
    <mergeCell ref="C14:M14"/>
    <mergeCell ref="C15:D15"/>
    <mergeCell ref="C16:D16"/>
    <mergeCell ref="C17:M17"/>
    <mergeCell ref="C18:D18"/>
    <mergeCell ref="C19:D19"/>
    <mergeCell ref="C10:D10"/>
    <mergeCell ref="H10:J10"/>
    <mergeCell ref="K10:L10"/>
    <mergeCell ref="C11:D11"/>
    <mergeCell ref="C12:D12"/>
    <mergeCell ref="C13:D13"/>
    <mergeCell ref="A8:B9"/>
    <mergeCell ref="C8:D9"/>
    <mergeCell ref="E8:F9"/>
    <mergeCell ref="G8:G9"/>
    <mergeCell ref="H8:H9"/>
    <mergeCell ref="I8:M9"/>
    <mergeCell ref="A1:M1"/>
    <mergeCell ref="A2:B3"/>
    <mergeCell ref="C2:D3"/>
    <mergeCell ref="E2:F3"/>
    <mergeCell ref="G2:G3"/>
    <mergeCell ref="A6:B7"/>
    <mergeCell ref="C6:D7"/>
    <mergeCell ref="E6:F7"/>
    <mergeCell ref="G6:G7"/>
    <mergeCell ref="A4:B5"/>
    <mergeCell ref="C4:D5"/>
    <mergeCell ref="E4:F5"/>
    <mergeCell ref="G4:G5"/>
    <mergeCell ref="H2:H3"/>
    <mergeCell ref="I2:M3"/>
    <mergeCell ref="H4:H5"/>
    <mergeCell ref="I4:M5"/>
    <mergeCell ref="H6:H7"/>
    <mergeCell ref="I6:M7"/>
  </mergeCells>
  <pageMargins left="0.98425196850393704" right="0.39370078740157483" top="0.59055118110236215" bottom="0.59055118110236215" header="0.39370078740157483" footer="0.39370078740157483"/>
  <pageSetup paperSize="9" scale="56" fitToHeight="0" orientation="landscape" r:id="rId1"/>
  <headerFooter>
    <oddFooter>&amp;L&amp;A&amp;Rstran &amp;N / strana &amp;P</oddFooter>
  </headerFooter>
  <rowBreaks count="5" manualBreakCount="5">
    <brk id="26" max="12" man="1"/>
    <brk id="52" max="12" man="1"/>
    <brk id="82" max="12" man="1"/>
    <brk id="112" max="12" man="1"/>
    <brk id="150" max="12" man="1"/>
  </rowBreaks>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E0E84-C883-4617-8269-B95CA4B4EDA6}">
  <sheetPr codeName="List15">
    <pageSetUpPr fitToPage="1"/>
  </sheetPr>
  <dimension ref="A1:BV80"/>
  <sheetViews>
    <sheetView view="pageBreakPreview" zoomScale="40" zoomScaleNormal="70" zoomScaleSheetLayoutView="40" workbookViewId="0">
      <pane ySplit="11" topLeftCell="A12" activePane="bottomLeft" state="frozen"/>
      <selection activeCell="D44" sqref="D44"/>
      <selection pane="bottomLeft" activeCell="C44" sqref="C44:M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64.285156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1229</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1043</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ht="15" customHeight="1" x14ac:dyDescent="0.25">
      <c r="A8" s="327" t="s">
        <v>95</v>
      </c>
      <c r="B8" s="307"/>
      <c r="C8" s="329" t="s">
        <v>96</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SUM(H13:H15)</f>
        <v>0</v>
      </c>
      <c r="I12" s="100">
        <f>SUM(I13:I15)</f>
        <v>0</v>
      </c>
      <c r="J12" s="100">
        <f>SUM(J13:J15)</f>
        <v>0</v>
      </c>
      <c r="K12" s="101" t="s">
        <v>129</v>
      </c>
      <c r="L12" s="100">
        <f>SUM(L13:L15)</f>
        <v>2.924941</v>
      </c>
      <c r="M12" s="102" t="s">
        <v>129</v>
      </c>
      <c r="AG12" s="71" t="s">
        <v>129</v>
      </c>
      <c r="AQ12" s="67">
        <f>SUM(AH13:AH15)</f>
        <v>0</v>
      </c>
      <c r="AR12" s="67">
        <f>SUM(AI13:AI15)</f>
        <v>0</v>
      </c>
      <c r="AS12" s="67">
        <f>SUM(AJ13:AJ15)</f>
        <v>0</v>
      </c>
    </row>
    <row r="13" spans="1:74" x14ac:dyDescent="0.25">
      <c r="A13" s="92" t="s">
        <v>132</v>
      </c>
      <c r="B13" s="69" t="s">
        <v>493</v>
      </c>
      <c r="C13" s="306" t="s">
        <v>494</v>
      </c>
      <c r="D13" s="307"/>
      <c r="E13" s="69" t="s">
        <v>166</v>
      </c>
      <c r="F13" s="77">
        <v>2.41</v>
      </c>
      <c r="G13" s="218">
        <v>0</v>
      </c>
      <c r="H13" s="77">
        <f>F13*AM13</f>
        <v>0</v>
      </c>
      <c r="I13" s="77">
        <f>F13*AN13</f>
        <v>0</v>
      </c>
      <c r="J13" s="77">
        <f>F13*G13</f>
        <v>0</v>
      </c>
      <c r="K13" s="77">
        <v>0.90010000000000001</v>
      </c>
      <c r="L13" s="77">
        <f>F13*K13</f>
        <v>2.169241</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G13*0.006611256</f>
        <v>0</v>
      </c>
      <c r="AN13" s="77">
        <f>G13*(1-0.006611256)</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2.169241</v>
      </c>
      <c r="BF13" s="77">
        <f>F13*AM13</f>
        <v>0</v>
      </c>
      <c r="BG13" s="77">
        <f>F13*AN13</f>
        <v>0</v>
      </c>
      <c r="BH13" s="77">
        <f>F13*G13</f>
        <v>0</v>
      </c>
      <c r="BI13" s="77"/>
      <c r="BJ13" s="77">
        <v>11</v>
      </c>
      <c r="BU13" s="77" t="e">
        <f>#REF!</f>
        <v>#REF!</v>
      </c>
      <c r="BV13" s="70" t="s">
        <v>494</v>
      </c>
    </row>
    <row r="14" spans="1:74" ht="162" customHeight="1" x14ac:dyDescent="0.25">
      <c r="A14" s="104"/>
      <c r="B14" s="81" t="s">
        <v>138</v>
      </c>
      <c r="C14" s="303" t="s">
        <v>1044</v>
      </c>
      <c r="D14" s="304"/>
      <c r="E14" s="304"/>
      <c r="F14" s="304"/>
      <c r="G14" s="304"/>
      <c r="H14" s="304"/>
      <c r="I14" s="304"/>
      <c r="J14" s="304"/>
      <c r="K14" s="304"/>
      <c r="L14" s="304"/>
      <c r="M14" s="305"/>
    </row>
    <row r="15" spans="1:74" x14ac:dyDescent="0.25">
      <c r="A15" s="92" t="s">
        <v>142</v>
      </c>
      <c r="B15" s="69" t="s">
        <v>819</v>
      </c>
      <c r="C15" s="306" t="s">
        <v>990</v>
      </c>
      <c r="D15" s="307"/>
      <c r="E15" s="69" t="s">
        <v>166</v>
      </c>
      <c r="F15" s="77">
        <v>2.29</v>
      </c>
      <c r="G15" s="218">
        <v>0</v>
      </c>
      <c r="H15" s="77">
        <f>F15*AM15</f>
        <v>0</v>
      </c>
      <c r="I15" s="77">
        <f>F15*AN15</f>
        <v>0</v>
      </c>
      <c r="J15" s="77">
        <f>F15*G15</f>
        <v>0</v>
      </c>
      <c r="K15" s="77">
        <v>0.33</v>
      </c>
      <c r="L15" s="77">
        <f>F15*K15</f>
        <v>0.75570000000000004</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f>
        <v>0</v>
      </c>
      <c r="AN15" s="77">
        <f>G15*(1-0)</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0.75570000000000004</v>
      </c>
      <c r="BF15" s="77">
        <f>F15*AM15</f>
        <v>0</v>
      </c>
      <c r="BG15" s="77">
        <f>F15*AN15</f>
        <v>0</v>
      </c>
      <c r="BH15" s="77">
        <f>F15*G15</f>
        <v>0</v>
      </c>
      <c r="BI15" s="77"/>
      <c r="BJ15" s="77">
        <v>11</v>
      </c>
      <c r="BU15" s="77" t="e">
        <f>#REF!</f>
        <v>#REF!</v>
      </c>
      <c r="BV15" s="70" t="s">
        <v>990</v>
      </c>
    </row>
    <row r="16" spans="1:74" ht="67.5" customHeight="1" x14ac:dyDescent="0.25">
      <c r="A16" s="104"/>
      <c r="B16" s="81" t="s">
        <v>138</v>
      </c>
      <c r="C16" s="303" t="s">
        <v>1045</v>
      </c>
      <c r="D16" s="304"/>
      <c r="E16" s="304"/>
      <c r="F16" s="304"/>
      <c r="G16" s="304"/>
      <c r="H16" s="304"/>
      <c r="I16" s="304"/>
      <c r="J16" s="304"/>
      <c r="K16" s="304"/>
      <c r="L16" s="304"/>
      <c r="M16" s="305"/>
    </row>
    <row r="17" spans="1:74" x14ac:dyDescent="0.25">
      <c r="A17" s="105" t="s">
        <v>129</v>
      </c>
      <c r="B17" s="74" t="s">
        <v>180</v>
      </c>
      <c r="C17" s="314" t="s">
        <v>181</v>
      </c>
      <c r="D17" s="315"/>
      <c r="E17" s="75" t="s">
        <v>87</v>
      </c>
      <c r="F17" s="75" t="s">
        <v>87</v>
      </c>
      <c r="G17" s="75" t="s">
        <v>87</v>
      </c>
      <c r="H17" s="67">
        <f>SUM(H18:H24)</f>
        <v>0</v>
      </c>
      <c r="I17" s="67">
        <f>SUM(I18:I24)</f>
        <v>0</v>
      </c>
      <c r="J17" s="67">
        <f>SUM(J18:J24)</f>
        <v>0</v>
      </c>
      <c r="K17" s="71" t="s">
        <v>129</v>
      </c>
      <c r="L17" s="67">
        <f>SUM(L18:L24)</f>
        <v>0</v>
      </c>
      <c r="M17" s="106" t="s">
        <v>129</v>
      </c>
      <c r="AG17" s="71" t="s">
        <v>129</v>
      </c>
      <c r="AQ17" s="67">
        <f>SUM(AH18:AH24)</f>
        <v>0</v>
      </c>
      <c r="AR17" s="67">
        <f>SUM(AI18:AI24)</f>
        <v>0</v>
      </c>
      <c r="AS17" s="67">
        <f>SUM(AJ18:AJ24)</f>
        <v>0</v>
      </c>
    </row>
    <row r="18" spans="1:74" x14ac:dyDescent="0.25">
      <c r="A18" s="92" t="s">
        <v>149</v>
      </c>
      <c r="B18" s="69" t="s">
        <v>825</v>
      </c>
      <c r="C18" s="306" t="s">
        <v>907</v>
      </c>
      <c r="D18" s="307"/>
      <c r="E18" s="69" t="s">
        <v>177</v>
      </c>
      <c r="F18" s="77">
        <v>1.28</v>
      </c>
      <c r="G18" s="218">
        <v>0</v>
      </c>
      <c r="H18" s="77">
        <f>F18*AM18</f>
        <v>0</v>
      </c>
      <c r="I18" s="77">
        <f>F18*AN18</f>
        <v>0</v>
      </c>
      <c r="J18" s="77">
        <f>F18*G18</f>
        <v>0</v>
      </c>
      <c r="K18" s="77">
        <v>0</v>
      </c>
      <c r="L18" s="77">
        <f>F18*K18</f>
        <v>0</v>
      </c>
      <c r="M18" s="103" t="s">
        <v>35</v>
      </c>
      <c r="X18" s="77">
        <f>IF(AO18="5",BH18,0)</f>
        <v>0</v>
      </c>
      <c r="Z18" s="77">
        <f>IF(AO18="1",BF18,0)</f>
        <v>0</v>
      </c>
      <c r="AA18" s="77">
        <f>IF(AO18="1",BG18,0)</f>
        <v>0</v>
      </c>
      <c r="AB18" s="77">
        <f>IF(AO18="7",BF18,0)</f>
        <v>0</v>
      </c>
      <c r="AC18" s="77">
        <f>IF(AO18="7",BG18,0)</f>
        <v>0</v>
      </c>
      <c r="AD18" s="77">
        <f>IF(AO18="2",BF18,0)</f>
        <v>0</v>
      </c>
      <c r="AE18" s="77">
        <f>IF(AO18="2",BG18,0)</f>
        <v>0</v>
      </c>
      <c r="AF18" s="77">
        <f>IF(AO18="0",BH18,0)</f>
        <v>0</v>
      </c>
      <c r="AG18" s="71" t="s">
        <v>129</v>
      </c>
      <c r="AH18" s="77">
        <f>IF(AL18=0,J18,0)</f>
        <v>0</v>
      </c>
      <c r="AI18" s="77">
        <f>IF(AL18=15,J18,0)</f>
        <v>0</v>
      </c>
      <c r="AJ18" s="77">
        <f>IF(AL18=21,J18,0)</f>
        <v>0</v>
      </c>
      <c r="AL18" s="77">
        <v>15</v>
      </c>
      <c r="AM18" s="77">
        <f>G18*0</f>
        <v>0</v>
      </c>
      <c r="AN18" s="77">
        <f>G18*(1-0)</f>
        <v>0</v>
      </c>
      <c r="AO18" s="79" t="s">
        <v>132</v>
      </c>
      <c r="AT18" s="77">
        <f>AU18+AV18</f>
        <v>0</v>
      </c>
      <c r="AU18" s="77">
        <f>F18*AM18</f>
        <v>0</v>
      </c>
      <c r="AV18" s="77">
        <f>F18*AN18</f>
        <v>0</v>
      </c>
      <c r="AW18" s="79" t="s">
        <v>185</v>
      </c>
      <c r="AX18" s="79" t="s">
        <v>147</v>
      </c>
      <c r="AY18" s="71" t="s">
        <v>137</v>
      </c>
      <c r="BA18" s="77">
        <f>AU18+AV18</f>
        <v>0</v>
      </c>
      <c r="BB18" s="77">
        <f>G18/(100-BC18)*100</f>
        <v>0</v>
      </c>
      <c r="BC18" s="77">
        <v>0</v>
      </c>
      <c r="BD18" s="77">
        <f>L18</f>
        <v>0</v>
      </c>
      <c r="BF18" s="77">
        <f>F18*AM18</f>
        <v>0</v>
      </c>
      <c r="BG18" s="77">
        <f>F18*AN18</f>
        <v>0</v>
      </c>
      <c r="BH18" s="77">
        <f>F18*G18</f>
        <v>0</v>
      </c>
      <c r="BI18" s="77"/>
      <c r="BJ18" s="77">
        <v>13</v>
      </c>
      <c r="BU18" s="77" t="e">
        <f>#REF!</f>
        <v>#REF!</v>
      </c>
      <c r="BV18" s="70" t="s">
        <v>907</v>
      </c>
    </row>
    <row r="19" spans="1:74" ht="135" customHeight="1" x14ac:dyDescent="0.25">
      <c r="A19" s="104"/>
      <c r="B19" s="81" t="s">
        <v>138</v>
      </c>
      <c r="C19" s="303" t="s">
        <v>1046</v>
      </c>
      <c r="D19" s="304"/>
      <c r="E19" s="304"/>
      <c r="F19" s="304"/>
      <c r="G19" s="304"/>
      <c r="H19" s="304"/>
      <c r="I19" s="304"/>
      <c r="J19" s="304"/>
      <c r="K19" s="304"/>
      <c r="L19" s="304"/>
      <c r="M19" s="305"/>
    </row>
    <row r="20" spans="1:74" x14ac:dyDescent="0.25">
      <c r="A20" s="92" t="s">
        <v>153</v>
      </c>
      <c r="B20" s="69" t="s">
        <v>188</v>
      </c>
      <c r="C20" s="306" t="s">
        <v>909</v>
      </c>
      <c r="D20" s="307"/>
      <c r="E20" s="69" t="s">
        <v>177</v>
      </c>
      <c r="F20" s="77">
        <v>0.64</v>
      </c>
      <c r="G20" s="218">
        <v>0</v>
      </c>
      <c r="H20" s="77">
        <f>F20*AM20</f>
        <v>0</v>
      </c>
      <c r="I20" s="77">
        <f>F20*AN20</f>
        <v>0</v>
      </c>
      <c r="J20" s="77">
        <f>F20*G20</f>
        <v>0</v>
      </c>
      <c r="K20" s="77">
        <v>0</v>
      </c>
      <c r="L20" s="77">
        <f>F20*K20</f>
        <v>0</v>
      </c>
      <c r="M20" s="103" t="s">
        <v>35</v>
      </c>
      <c r="X20" s="77">
        <f>IF(AO20="5",BH20,0)</f>
        <v>0</v>
      </c>
      <c r="Z20" s="77">
        <f>IF(AO20="1",BF20,0)</f>
        <v>0</v>
      </c>
      <c r="AA20" s="77">
        <f>IF(AO20="1",BG20,0)</f>
        <v>0</v>
      </c>
      <c r="AB20" s="77">
        <f>IF(AO20="7",BF20,0)</f>
        <v>0</v>
      </c>
      <c r="AC20" s="77">
        <f>IF(AO20="7",BG20,0)</f>
        <v>0</v>
      </c>
      <c r="AD20" s="77">
        <f>IF(AO20="2",BF20,0)</f>
        <v>0</v>
      </c>
      <c r="AE20" s="77">
        <f>IF(AO20="2",BG20,0)</f>
        <v>0</v>
      </c>
      <c r="AF20" s="77">
        <f>IF(AO20="0",BH20,0)</f>
        <v>0</v>
      </c>
      <c r="AG20" s="71" t="s">
        <v>129</v>
      </c>
      <c r="AH20" s="77">
        <f>IF(AL20=0,J20,0)</f>
        <v>0</v>
      </c>
      <c r="AI20" s="77">
        <f>IF(AL20=15,J20,0)</f>
        <v>0</v>
      </c>
      <c r="AJ20" s="77">
        <f>IF(AL20=21,J20,0)</f>
        <v>0</v>
      </c>
      <c r="AL20" s="77">
        <v>15</v>
      </c>
      <c r="AM20" s="77">
        <f>G20*0</f>
        <v>0</v>
      </c>
      <c r="AN20" s="77">
        <f>G20*(1-0)</f>
        <v>0</v>
      </c>
      <c r="AO20" s="79" t="s">
        <v>132</v>
      </c>
      <c r="AT20" s="77">
        <f>AU20+AV20</f>
        <v>0</v>
      </c>
      <c r="AU20" s="77">
        <f>F20*AM20</f>
        <v>0</v>
      </c>
      <c r="AV20" s="77">
        <f>F20*AN20</f>
        <v>0</v>
      </c>
      <c r="AW20" s="79" t="s">
        <v>185</v>
      </c>
      <c r="AX20" s="79" t="s">
        <v>147</v>
      </c>
      <c r="AY20" s="71" t="s">
        <v>137</v>
      </c>
      <c r="BA20" s="77">
        <f>AU20+AV20</f>
        <v>0</v>
      </c>
      <c r="BB20" s="77">
        <f>G20/(100-BC20)*100</f>
        <v>0</v>
      </c>
      <c r="BC20" s="77">
        <v>0</v>
      </c>
      <c r="BD20" s="77">
        <f>L20</f>
        <v>0</v>
      </c>
      <c r="BF20" s="77">
        <f>F20*AM20</f>
        <v>0</v>
      </c>
      <c r="BG20" s="77">
        <f>F20*AN20</f>
        <v>0</v>
      </c>
      <c r="BH20" s="77">
        <f>F20*G20</f>
        <v>0</v>
      </c>
      <c r="BI20" s="77"/>
      <c r="BJ20" s="77">
        <v>13</v>
      </c>
      <c r="BU20" s="77" t="e">
        <f>#REF!</f>
        <v>#REF!</v>
      </c>
      <c r="BV20" s="70" t="s">
        <v>909</v>
      </c>
    </row>
    <row r="21" spans="1:74" ht="40.5" customHeight="1" x14ac:dyDescent="0.25">
      <c r="A21" s="104"/>
      <c r="B21" s="81" t="s">
        <v>138</v>
      </c>
      <c r="C21" s="303" t="s">
        <v>1047</v>
      </c>
      <c r="D21" s="304"/>
      <c r="E21" s="304"/>
      <c r="F21" s="304"/>
      <c r="G21" s="304"/>
      <c r="H21" s="304"/>
      <c r="I21" s="304"/>
      <c r="J21" s="304"/>
      <c r="K21" s="304"/>
      <c r="L21" s="304"/>
      <c r="M21" s="305"/>
    </row>
    <row r="22" spans="1:74" x14ac:dyDescent="0.25">
      <c r="A22" s="92" t="s">
        <v>158</v>
      </c>
      <c r="B22" s="69" t="s">
        <v>829</v>
      </c>
      <c r="C22" s="306" t="s">
        <v>830</v>
      </c>
      <c r="D22" s="307"/>
      <c r="E22" s="69" t="s">
        <v>177</v>
      </c>
      <c r="F22" s="77">
        <v>1.28</v>
      </c>
      <c r="G22" s="218">
        <v>0</v>
      </c>
      <c r="H22" s="77">
        <f>F22*AM22</f>
        <v>0</v>
      </c>
      <c r="I22" s="77">
        <f>F22*AN22</f>
        <v>0</v>
      </c>
      <c r="J22" s="77">
        <f>F22*G22</f>
        <v>0</v>
      </c>
      <c r="K22" s="77">
        <v>0</v>
      </c>
      <c r="L22" s="77">
        <f>F22*K22</f>
        <v>0</v>
      </c>
      <c r="M22" s="103" t="s">
        <v>35</v>
      </c>
      <c r="X22" s="77">
        <f>IF(AO22="5",BH22,0)</f>
        <v>0</v>
      </c>
      <c r="Z22" s="77">
        <f>IF(AO22="1",BF22,0)</f>
        <v>0</v>
      </c>
      <c r="AA22" s="77">
        <f>IF(AO22="1",BG22,0)</f>
        <v>0</v>
      </c>
      <c r="AB22" s="77">
        <f>IF(AO22="7",BF22,0)</f>
        <v>0</v>
      </c>
      <c r="AC22" s="77">
        <f>IF(AO22="7",BG22,0)</f>
        <v>0</v>
      </c>
      <c r="AD22" s="77">
        <f>IF(AO22="2",BF22,0)</f>
        <v>0</v>
      </c>
      <c r="AE22" s="77">
        <f>IF(AO22="2",BG22,0)</f>
        <v>0</v>
      </c>
      <c r="AF22" s="77">
        <f>IF(AO22="0",BH22,0)</f>
        <v>0</v>
      </c>
      <c r="AG22" s="71" t="s">
        <v>129</v>
      </c>
      <c r="AH22" s="77">
        <f>IF(AL22=0,J22,0)</f>
        <v>0</v>
      </c>
      <c r="AI22" s="77">
        <f>IF(AL22=15,J22,0)</f>
        <v>0</v>
      </c>
      <c r="AJ22" s="77">
        <f>IF(AL22=21,J22,0)</f>
        <v>0</v>
      </c>
      <c r="AL22" s="77">
        <v>15</v>
      </c>
      <c r="AM22" s="77">
        <f>G22*0</f>
        <v>0</v>
      </c>
      <c r="AN22" s="77">
        <f>G22*(1-0)</f>
        <v>0</v>
      </c>
      <c r="AO22" s="79" t="s">
        <v>132</v>
      </c>
      <c r="AT22" s="77">
        <f>AU22+AV22</f>
        <v>0</v>
      </c>
      <c r="AU22" s="77">
        <f>F22*AM22</f>
        <v>0</v>
      </c>
      <c r="AV22" s="77">
        <f>F22*AN22</f>
        <v>0</v>
      </c>
      <c r="AW22" s="79" t="s">
        <v>185</v>
      </c>
      <c r="AX22" s="79" t="s">
        <v>147</v>
      </c>
      <c r="AY22" s="71" t="s">
        <v>137</v>
      </c>
      <c r="BA22" s="77">
        <f>AU22+AV22</f>
        <v>0</v>
      </c>
      <c r="BB22" s="77">
        <f>G22/(100-BC22)*100</f>
        <v>0</v>
      </c>
      <c r="BC22" s="77">
        <v>0</v>
      </c>
      <c r="BD22" s="77">
        <f>L22</f>
        <v>0</v>
      </c>
      <c r="BF22" s="77">
        <f>F22*AM22</f>
        <v>0</v>
      </c>
      <c r="BG22" s="77">
        <f>F22*AN22</f>
        <v>0</v>
      </c>
      <c r="BH22" s="77">
        <f>F22*G22</f>
        <v>0</v>
      </c>
      <c r="BI22" s="77"/>
      <c r="BJ22" s="77">
        <v>13</v>
      </c>
      <c r="BU22" s="77" t="e">
        <f>#REF!</f>
        <v>#REF!</v>
      </c>
      <c r="BV22" s="70" t="s">
        <v>830</v>
      </c>
    </row>
    <row r="23" spans="1:74" ht="135" customHeight="1" x14ac:dyDescent="0.25">
      <c r="A23" s="104"/>
      <c r="B23" s="81" t="s">
        <v>138</v>
      </c>
      <c r="C23" s="303" t="s">
        <v>1048</v>
      </c>
      <c r="D23" s="304"/>
      <c r="E23" s="304"/>
      <c r="F23" s="304"/>
      <c r="G23" s="304"/>
      <c r="H23" s="304"/>
      <c r="I23" s="304"/>
      <c r="J23" s="304"/>
      <c r="K23" s="304"/>
      <c r="L23" s="304"/>
      <c r="M23" s="305"/>
    </row>
    <row r="24" spans="1:74" x14ac:dyDescent="0.25">
      <c r="A24" s="92" t="s">
        <v>163</v>
      </c>
      <c r="B24" s="69" t="s">
        <v>194</v>
      </c>
      <c r="C24" s="306" t="s">
        <v>912</v>
      </c>
      <c r="D24" s="307"/>
      <c r="E24" s="69" t="s">
        <v>177</v>
      </c>
      <c r="F24" s="77">
        <v>0.32</v>
      </c>
      <c r="G24" s="218">
        <v>0</v>
      </c>
      <c r="H24" s="77">
        <f>F24*AM24</f>
        <v>0</v>
      </c>
      <c r="I24" s="77">
        <f>F24*AN24</f>
        <v>0</v>
      </c>
      <c r="J24" s="77">
        <f>F24*G24</f>
        <v>0</v>
      </c>
      <c r="K24" s="77">
        <v>0</v>
      </c>
      <c r="L24" s="77">
        <f>F24*K24</f>
        <v>0</v>
      </c>
      <c r="M24" s="103" t="s">
        <v>35</v>
      </c>
      <c r="X24" s="77">
        <f>IF(AO24="5",BH24,0)</f>
        <v>0</v>
      </c>
      <c r="Z24" s="77">
        <f>IF(AO24="1",BF24,0)</f>
        <v>0</v>
      </c>
      <c r="AA24" s="77">
        <f>IF(AO24="1",BG24,0)</f>
        <v>0</v>
      </c>
      <c r="AB24" s="77">
        <f>IF(AO24="7",BF24,0)</f>
        <v>0</v>
      </c>
      <c r="AC24" s="77">
        <f>IF(AO24="7",BG24,0)</f>
        <v>0</v>
      </c>
      <c r="AD24" s="77">
        <f>IF(AO24="2",BF24,0)</f>
        <v>0</v>
      </c>
      <c r="AE24" s="77">
        <f>IF(AO24="2",BG24,0)</f>
        <v>0</v>
      </c>
      <c r="AF24" s="77">
        <f>IF(AO24="0",BH24,0)</f>
        <v>0</v>
      </c>
      <c r="AG24" s="71" t="s">
        <v>129</v>
      </c>
      <c r="AH24" s="77">
        <f>IF(AL24=0,J24,0)</f>
        <v>0</v>
      </c>
      <c r="AI24" s="77">
        <f>IF(AL24=15,J24,0)</f>
        <v>0</v>
      </c>
      <c r="AJ24" s="77">
        <f>IF(AL24=21,J24,0)</f>
        <v>0</v>
      </c>
      <c r="AL24" s="77">
        <v>15</v>
      </c>
      <c r="AM24" s="77">
        <f>G24*0</f>
        <v>0</v>
      </c>
      <c r="AN24" s="77">
        <f>G24*(1-0)</f>
        <v>0</v>
      </c>
      <c r="AO24" s="79" t="s">
        <v>132</v>
      </c>
      <c r="AT24" s="77">
        <f>AU24+AV24</f>
        <v>0</v>
      </c>
      <c r="AU24" s="77">
        <f>F24*AM24</f>
        <v>0</v>
      </c>
      <c r="AV24" s="77">
        <f>F24*AN24</f>
        <v>0</v>
      </c>
      <c r="AW24" s="79" t="s">
        <v>185</v>
      </c>
      <c r="AX24" s="79" t="s">
        <v>147</v>
      </c>
      <c r="AY24" s="71" t="s">
        <v>137</v>
      </c>
      <c r="BA24" s="77">
        <f>AU24+AV24</f>
        <v>0</v>
      </c>
      <c r="BB24" s="77">
        <f>G24/(100-BC24)*100</f>
        <v>0</v>
      </c>
      <c r="BC24" s="77">
        <v>0</v>
      </c>
      <c r="BD24" s="77">
        <f>L24</f>
        <v>0</v>
      </c>
      <c r="BF24" s="77">
        <f>F24*AM24</f>
        <v>0</v>
      </c>
      <c r="BG24" s="77">
        <f>F24*AN24</f>
        <v>0</v>
      </c>
      <c r="BH24" s="77">
        <f>F24*G24</f>
        <v>0</v>
      </c>
      <c r="BI24" s="77"/>
      <c r="BJ24" s="77">
        <v>13</v>
      </c>
      <c r="BU24" s="77" t="e">
        <f>#REF!</f>
        <v>#REF!</v>
      </c>
      <c r="BV24" s="70" t="s">
        <v>912</v>
      </c>
    </row>
    <row r="25" spans="1:74" ht="40.5" customHeight="1" thickBot="1" x14ac:dyDescent="0.3">
      <c r="A25" s="107"/>
      <c r="B25" s="108" t="s">
        <v>138</v>
      </c>
      <c r="C25" s="308" t="s">
        <v>1049</v>
      </c>
      <c r="D25" s="309"/>
      <c r="E25" s="309"/>
      <c r="F25" s="309"/>
      <c r="G25" s="309"/>
      <c r="H25" s="309"/>
      <c r="I25" s="309"/>
      <c r="J25" s="309"/>
      <c r="K25" s="309"/>
      <c r="L25" s="309"/>
      <c r="M25" s="310"/>
    </row>
    <row r="26" spans="1:74" x14ac:dyDescent="0.25">
      <c r="A26" s="97" t="s">
        <v>129</v>
      </c>
      <c r="B26" s="98" t="s">
        <v>209</v>
      </c>
      <c r="C26" s="318" t="s">
        <v>218</v>
      </c>
      <c r="D26" s="319"/>
      <c r="E26" s="99" t="s">
        <v>87</v>
      </c>
      <c r="F26" s="99" t="s">
        <v>87</v>
      </c>
      <c r="G26" s="99" t="s">
        <v>87</v>
      </c>
      <c r="H26" s="100">
        <f>SUM(H27:H33)</f>
        <v>0</v>
      </c>
      <c r="I26" s="100">
        <f>SUM(I27:I33)</f>
        <v>0</v>
      </c>
      <c r="J26" s="100">
        <f>SUM(J27:J33)</f>
        <v>0</v>
      </c>
      <c r="K26" s="101" t="s">
        <v>129</v>
      </c>
      <c r="L26" s="100">
        <f>SUM(L27:L33)</f>
        <v>0</v>
      </c>
      <c r="M26" s="102" t="s">
        <v>129</v>
      </c>
      <c r="AG26" s="71" t="s">
        <v>129</v>
      </c>
      <c r="AQ26" s="67">
        <f>SUM(AH27:AH33)</f>
        <v>0</v>
      </c>
      <c r="AR26" s="67">
        <f>SUM(AI27:AI33)</f>
        <v>0</v>
      </c>
      <c r="AS26" s="67">
        <f>SUM(AJ27:AJ33)</f>
        <v>0</v>
      </c>
    </row>
    <row r="27" spans="1:74" x14ac:dyDescent="0.25">
      <c r="A27" s="92" t="s">
        <v>168</v>
      </c>
      <c r="B27" s="69" t="s">
        <v>220</v>
      </c>
      <c r="C27" s="306" t="s">
        <v>221</v>
      </c>
      <c r="D27" s="307"/>
      <c r="E27" s="69" t="s">
        <v>177</v>
      </c>
      <c r="F27" s="77">
        <v>1.28</v>
      </c>
      <c r="G27" s="218">
        <v>0</v>
      </c>
      <c r="H27" s="77">
        <f>F27*AM27</f>
        <v>0</v>
      </c>
      <c r="I27" s="77">
        <f>F27*AN27</f>
        <v>0</v>
      </c>
      <c r="J27" s="77">
        <f>F27*G27</f>
        <v>0</v>
      </c>
      <c r="K27" s="77">
        <v>0</v>
      </c>
      <c r="L27" s="77">
        <f>F27*K27</f>
        <v>0</v>
      </c>
      <c r="M27" s="103"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f>
        <v>0</v>
      </c>
      <c r="AN27" s="77">
        <f>G27*(1-0)</f>
        <v>0</v>
      </c>
      <c r="AO27" s="79" t="s">
        <v>132</v>
      </c>
      <c r="AT27" s="77">
        <f>AU27+AV27</f>
        <v>0</v>
      </c>
      <c r="AU27" s="77">
        <f>F27*AM27</f>
        <v>0</v>
      </c>
      <c r="AV27" s="77">
        <f>F27*AN27</f>
        <v>0</v>
      </c>
      <c r="AW27" s="79" t="s">
        <v>222</v>
      </c>
      <c r="AX27" s="79" t="s">
        <v>147</v>
      </c>
      <c r="AY27" s="71" t="s">
        <v>137</v>
      </c>
      <c r="BA27" s="77">
        <f>AU27+AV27</f>
        <v>0</v>
      </c>
      <c r="BB27" s="77">
        <f>G27/(100-BC27)*100</f>
        <v>0</v>
      </c>
      <c r="BC27" s="77">
        <v>0</v>
      </c>
      <c r="BD27" s="77">
        <f>L27</f>
        <v>0</v>
      </c>
      <c r="BF27" s="77">
        <f>F27*AM27</f>
        <v>0</v>
      </c>
      <c r="BG27" s="77">
        <f>F27*AN27</f>
        <v>0</v>
      </c>
      <c r="BH27" s="77">
        <f>F27*G27</f>
        <v>0</v>
      </c>
      <c r="BI27" s="77"/>
      <c r="BJ27" s="77">
        <v>16</v>
      </c>
      <c r="BU27" s="77" t="e">
        <f>#REF!</f>
        <v>#REF!</v>
      </c>
      <c r="BV27" s="70" t="s">
        <v>221</v>
      </c>
    </row>
    <row r="28" spans="1:74" ht="67.5" customHeight="1" x14ac:dyDescent="0.25">
      <c r="A28" s="104"/>
      <c r="B28" s="81" t="s">
        <v>138</v>
      </c>
      <c r="C28" s="303" t="s">
        <v>1050</v>
      </c>
      <c r="D28" s="304"/>
      <c r="E28" s="304"/>
      <c r="F28" s="304"/>
      <c r="G28" s="304"/>
      <c r="H28" s="304"/>
      <c r="I28" s="304"/>
      <c r="J28" s="304"/>
      <c r="K28" s="304"/>
      <c r="L28" s="304"/>
      <c r="M28" s="305"/>
    </row>
    <row r="29" spans="1:74" x14ac:dyDescent="0.25">
      <c r="A29" s="92" t="s">
        <v>174</v>
      </c>
      <c r="B29" s="69" t="s">
        <v>918</v>
      </c>
      <c r="C29" s="306" t="s">
        <v>230</v>
      </c>
      <c r="D29" s="307"/>
      <c r="E29" s="69" t="s">
        <v>177</v>
      </c>
      <c r="F29" s="77">
        <v>1</v>
      </c>
      <c r="G29" s="218">
        <v>0</v>
      </c>
      <c r="H29" s="77">
        <f>F29*AM29</f>
        <v>0</v>
      </c>
      <c r="I29" s="77">
        <f>F29*AN29</f>
        <v>0</v>
      </c>
      <c r="J29" s="77">
        <f>F29*G29</f>
        <v>0</v>
      </c>
      <c r="K29" s="77">
        <v>0</v>
      </c>
      <c r="L29" s="77">
        <f>F29*K29</f>
        <v>0</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222</v>
      </c>
      <c r="AX29" s="79" t="s">
        <v>147</v>
      </c>
      <c r="AY29" s="71" t="s">
        <v>137</v>
      </c>
      <c r="BA29" s="77">
        <f>AU29+AV29</f>
        <v>0</v>
      </c>
      <c r="BB29" s="77">
        <f>G29/(100-BC29)*100</f>
        <v>0</v>
      </c>
      <c r="BC29" s="77">
        <v>0</v>
      </c>
      <c r="BD29" s="77">
        <f>L29</f>
        <v>0</v>
      </c>
      <c r="BF29" s="77">
        <f>F29*AM29</f>
        <v>0</v>
      </c>
      <c r="BG29" s="77">
        <f>F29*AN29</f>
        <v>0</v>
      </c>
      <c r="BH29" s="77">
        <f>F29*G29</f>
        <v>0</v>
      </c>
      <c r="BI29" s="77"/>
      <c r="BJ29" s="77">
        <v>16</v>
      </c>
      <c r="BU29" s="77" t="e">
        <f>#REF!</f>
        <v>#REF!</v>
      </c>
      <c r="BV29" s="70" t="s">
        <v>230</v>
      </c>
    </row>
    <row r="30" spans="1:74" ht="67.5" customHeight="1" x14ac:dyDescent="0.25">
      <c r="A30" s="104"/>
      <c r="B30" s="81" t="s">
        <v>138</v>
      </c>
      <c r="C30" s="303" t="s">
        <v>1051</v>
      </c>
      <c r="D30" s="304"/>
      <c r="E30" s="304"/>
      <c r="F30" s="304"/>
      <c r="G30" s="304"/>
      <c r="H30" s="304"/>
      <c r="I30" s="304"/>
      <c r="J30" s="304"/>
      <c r="K30" s="304"/>
      <c r="L30" s="304"/>
      <c r="M30" s="305"/>
    </row>
    <row r="31" spans="1:74" ht="25.5" x14ac:dyDescent="0.25">
      <c r="A31" s="92" t="s">
        <v>182</v>
      </c>
      <c r="B31" s="69" t="s">
        <v>840</v>
      </c>
      <c r="C31" s="306" t="s">
        <v>1052</v>
      </c>
      <c r="D31" s="307"/>
      <c r="E31" s="69" t="s">
        <v>177</v>
      </c>
      <c r="F31" s="77">
        <v>3.12</v>
      </c>
      <c r="G31" s="218">
        <v>0</v>
      </c>
      <c r="H31" s="77">
        <f>F31*AM31</f>
        <v>0</v>
      </c>
      <c r="I31" s="77">
        <f>F31*AN31</f>
        <v>0</v>
      </c>
      <c r="J31" s="77">
        <f>F31*G31</f>
        <v>0</v>
      </c>
      <c r="K31" s="77">
        <v>0</v>
      </c>
      <c r="L31" s="77">
        <f>F31*K31</f>
        <v>0</v>
      </c>
      <c r="M31" s="103" t="s">
        <v>35</v>
      </c>
      <c r="X31" s="77">
        <f>IF(AO31="5",BH31,0)</f>
        <v>0</v>
      </c>
      <c r="Z31" s="77">
        <f>IF(AO31="1",BF31,0)</f>
        <v>0</v>
      </c>
      <c r="AA31" s="77">
        <f>IF(AO31="1",BG31,0)</f>
        <v>0</v>
      </c>
      <c r="AB31" s="77">
        <f>IF(AO31="7",BF31,0)</f>
        <v>0</v>
      </c>
      <c r="AC31" s="77">
        <f>IF(AO31="7",BG31,0)</f>
        <v>0</v>
      </c>
      <c r="AD31" s="77">
        <f>IF(AO31="2",BF31,0)</f>
        <v>0</v>
      </c>
      <c r="AE31" s="77">
        <f>IF(AO31="2",BG31,0)</f>
        <v>0</v>
      </c>
      <c r="AF31" s="77">
        <f>IF(AO31="0",BH31,0)</f>
        <v>0</v>
      </c>
      <c r="AG31" s="71" t="s">
        <v>129</v>
      </c>
      <c r="AH31" s="77">
        <f>IF(AL31=0,J31,0)</f>
        <v>0</v>
      </c>
      <c r="AI31" s="77">
        <f>IF(AL31=15,J31,0)</f>
        <v>0</v>
      </c>
      <c r="AJ31" s="77">
        <f>IF(AL31=21,J31,0)</f>
        <v>0</v>
      </c>
      <c r="AL31" s="77">
        <v>15</v>
      </c>
      <c r="AM31" s="77">
        <f>G31*0</f>
        <v>0</v>
      </c>
      <c r="AN31" s="77">
        <f>G31*(1-0)</f>
        <v>0</v>
      </c>
      <c r="AO31" s="79" t="s">
        <v>132</v>
      </c>
      <c r="AT31" s="77">
        <f>AU31+AV31</f>
        <v>0</v>
      </c>
      <c r="AU31" s="77">
        <f>F31*AM31</f>
        <v>0</v>
      </c>
      <c r="AV31" s="77">
        <f>F31*AN31</f>
        <v>0</v>
      </c>
      <c r="AW31" s="79" t="s">
        <v>222</v>
      </c>
      <c r="AX31" s="79" t="s">
        <v>147</v>
      </c>
      <c r="AY31" s="71" t="s">
        <v>137</v>
      </c>
      <c r="BA31" s="77">
        <f>AU31+AV31</f>
        <v>0</v>
      </c>
      <c r="BB31" s="77">
        <f>G31/(100-BC31)*100</f>
        <v>0</v>
      </c>
      <c r="BC31" s="77">
        <v>0</v>
      </c>
      <c r="BD31" s="77">
        <f>L31</f>
        <v>0</v>
      </c>
      <c r="BF31" s="77">
        <f>F31*AM31</f>
        <v>0</v>
      </c>
      <c r="BG31" s="77">
        <f>F31*AN31</f>
        <v>0</v>
      </c>
      <c r="BH31" s="77">
        <f>F31*G31</f>
        <v>0</v>
      </c>
      <c r="BI31" s="77"/>
      <c r="BJ31" s="77">
        <v>16</v>
      </c>
      <c r="BU31" s="77" t="e">
        <f>#REF!</f>
        <v>#REF!</v>
      </c>
      <c r="BV31" s="70" t="s">
        <v>1052</v>
      </c>
    </row>
    <row r="32" spans="1:74" ht="40.5" customHeight="1" x14ac:dyDescent="0.25">
      <c r="A32" s="104"/>
      <c r="B32" s="81" t="s">
        <v>138</v>
      </c>
      <c r="C32" s="303" t="s">
        <v>1053</v>
      </c>
      <c r="D32" s="304"/>
      <c r="E32" s="304"/>
      <c r="F32" s="304"/>
      <c r="G32" s="304"/>
      <c r="H32" s="304"/>
      <c r="I32" s="304"/>
      <c r="J32" s="304"/>
      <c r="K32" s="304"/>
      <c r="L32" s="304"/>
      <c r="M32" s="305"/>
    </row>
    <row r="33" spans="1:74" ht="25.5" x14ac:dyDescent="0.25">
      <c r="A33" s="92" t="s">
        <v>187</v>
      </c>
      <c r="B33" s="69" t="s">
        <v>241</v>
      </c>
      <c r="C33" s="306" t="s">
        <v>242</v>
      </c>
      <c r="D33" s="307"/>
      <c r="E33" s="69" t="s">
        <v>177</v>
      </c>
      <c r="F33" s="77">
        <v>3.12</v>
      </c>
      <c r="G33" s="218">
        <v>0</v>
      </c>
      <c r="H33" s="77">
        <f>F33*AM33</f>
        <v>0</v>
      </c>
      <c r="I33" s="77">
        <f>F33*AN33</f>
        <v>0</v>
      </c>
      <c r="J33" s="77">
        <f>F33*G33</f>
        <v>0</v>
      </c>
      <c r="K33" s="77">
        <v>0</v>
      </c>
      <c r="L33" s="77">
        <f>F33*K33</f>
        <v>0</v>
      </c>
      <c r="M33" s="103" t="s">
        <v>35</v>
      </c>
      <c r="X33" s="77">
        <f>IF(AO33="5",BH33,0)</f>
        <v>0</v>
      </c>
      <c r="Z33" s="77">
        <f>IF(AO33="1",BF33,0)</f>
        <v>0</v>
      </c>
      <c r="AA33" s="77">
        <f>IF(AO33="1",BG33,0)</f>
        <v>0</v>
      </c>
      <c r="AB33" s="77">
        <f>IF(AO33="7",BF33,0)</f>
        <v>0</v>
      </c>
      <c r="AC33" s="77">
        <f>IF(AO33="7",BG33,0)</f>
        <v>0</v>
      </c>
      <c r="AD33" s="77">
        <f>IF(AO33="2",BF33,0)</f>
        <v>0</v>
      </c>
      <c r="AE33" s="77">
        <f>IF(AO33="2",BG33,0)</f>
        <v>0</v>
      </c>
      <c r="AF33" s="77">
        <f>IF(AO33="0",BH33,0)</f>
        <v>0</v>
      </c>
      <c r="AG33" s="71" t="s">
        <v>129</v>
      </c>
      <c r="AH33" s="77">
        <f>IF(AL33=0,J33,0)</f>
        <v>0</v>
      </c>
      <c r="AI33" s="77">
        <f>IF(AL33=15,J33,0)</f>
        <v>0</v>
      </c>
      <c r="AJ33" s="77">
        <f>IF(AL33=21,J33,0)</f>
        <v>0</v>
      </c>
      <c r="AL33" s="77">
        <v>15</v>
      </c>
      <c r="AM33" s="77">
        <f>G33*0</f>
        <v>0</v>
      </c>
      <c r="AN33" s="77">
        <f>G33*(1-0)</f>
        <v>0</v>
      </c>
      <c r="AO33" s="79" t="s">
        <v>132</v>
      </c>
      <c r="AT33" s="77">
        <f>AU33+AV33</f>
        <v>0</v>
      </c>
      <c r="AU33" s="77">
        <f>F33*AM33</f>
        <v>0</v>
      </c>
      <c r="AV33" s="77">
        <f>F33*AN33</f>
        <v>0</v>
      </c>
      <c r="AW33" s="79" t="s">
        <v>222</v>
      </c>
      <c r="AX33" s="79" t="s">
        <v>147</v>
      </c>
      <c r="AY33" s="71" t="s">
        <v>137</v>
      </c>
      <c r="BA33" s="77">
        <f>AU33+AV33</f>
        <v>0</v>
      </c>
      <c r="BB33" s="77">
        <f>G33/(100-BC33)*100</f>
        <v>0</v>
      </c>
      <c r="BC33" s="77">
        <v>0</v>
      </c>
      <c r="BD33" s="77">
        <f>L33</f>
        <v>0</v>
      </c>
      <c r="BF33" s="77">
        <f>F33*AM33</f>
        <v>0</v>
      </c>
      <c r="BG33" s="77">
        <f>F33*AN33</f>
        <v>0</v>
      </c>
      <c r="BH33" s="77">
        <f>F33*G33</f>
        <v>0</v>
      </c>
      <c r="BI33" s="77"/>
      <c r="BJ33" s="77">
        <v>16</v>
      </c>
      <c r="BU33" s="77" t="e">
        <f>#REF!</f>
        <v>#REF!</v>
      </c>
      <c r="BV33" s="70" t="s">
        <v>242</v>
      </c>
    </row>
    <row r="34" spans="1:74" ht="40.5" customHeight="1" x14ac:dyDescent="0.25">
      <c r="A34" s="104"/>
      <c r="B34" s="81" t="s">
        <v>138</v>
      </c>
      <c r="C34" s="303" t="s">
        <v>923</v>
      </c>
      <c r="D34" s="304"/>
      <c r="E34" s="304"/>
      <c r="F34" s="304"/>
      <c r="G34" s="304"/>
      <c r="H34" s="304"/>
      <c r="I34" s="304"/>
      <c r="J34" s="304"/>
      <c r="K34" s="304"/>
      <c r="L34" s="304"/>
      <c r="M34" s="305"/>
    </row>
    <row r="35" spans="1:74" x14ac:dyDescent="0.25">
      <c r="A35" s="105" t="s">
        <v>129</v>
      </c>
      <c r="B35" s="74" t="s">
        <v>214</v>
      </c>
      <c r="C35" s="314" t="s">
        <v>244</v>
      </c>
      <c r="D35" s="315"/>
      <c r="E35" s="75" t="s">
        <v>87</v>
      </c>
      <c r="F35" s="75" t="s">
        <v>87</v>
      </c>
      <c r="G35" s="75" t="s">
        <v>87</v>
      </c>
      <c r="H35" s="67">
        <f>SUM(H36:H40)</f>
        <v>0</v>
      </c>
      <c r="I35" s="67">
        <f>SUM(I36:I40)</f>
        <v>0</v>
      </c>
      <c r="J35" s="67">
        <f>SUM(J36:J40)</f>
        <v>0</v>
      </c>
      <c r="K35" s="71" t="s">
        <v>129</v>
      </c>
      <c r="L35" s="67">
        <f>SUM(L36:L40)</f>
        <v>1.3939999999999999</v>
      </c>
      <c r="M35" s="106" t="s">
        <v>129</v>
      </c>
      <c r="AG35" s="71" t="s">
        <v>129</v>
      </c>
      <c r="AQ35" s="67">
        <f>SUM(AH36:AH40)</f>
        <v>0</v>
      </c>
      <c r="AR35" s="67">
        <f>SUM(AI36:AI40)</f>
        <v>0</v>
      </c>
      <c r="AS35" s="67">
        <f>SUM(AJ36:AJ40)</f>
        <v>0</v>
      </c>
    </row>
    <row r="36" spans="1:74" x14ac:dyDescent="0.25">
      <c r="A36" s="92" t="s">
        <v>140</v>
      </c>
      <c r="B36" s="69" t="s">
        <v>246</v>
      </c>
      <c r="C36" s="306" t="s">
        <v>247</v>
      </c>
      <c r="D36" s="307"/>
      <c r="E36" s="69" t="s">
        <v>177</v>
      </c>
      <c r="F36" s="77">
        <v>0.82</v>
      </c>
      <c r="G36" s="218">
        <v>0</v>
      </c>
      <c r="H36" s="77">
        <f>F36*AM36</f>
        <v>0</v>
      </c>
      <c r="I36" s="77">
        <f>F36*AN36</f>
        <v>0</v>
      </c>
      <c r="J36" s="77">
        <f>F36*G36</f>
        <v>0</v>
      </c>
      <c r="K36" s="77">
        <v>1.7</v>
      </c>
      <c r="L36" s="77">
        <f>F36*K36</f>
        <v>1.3939999999999999</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G36*0.512989183</f>
        <v>0</v>
      </c>
      <c r="AN36" s="77">
        <f>G36*(1-0.512989183)</f>
        <v>0</v>
      </c>
      <c r="AO36" s="79" t="s">
        <v>132</v>
      </c>
      <c r="AT36" s="77">
        <f>AU36+AV36</f>
        <v>0</v>
      </c>
      <c r="AU36" s="77">
        <f>F36*AM36</f>
        <v>0</v>
      </c>
      <c r="AV36" s="77">
        <f>F36*AN36</f>
        <v>0</v>
      </c>
      <c r="AW36" s="79" t="s">
        <v>248</v>
      </c>
      <c r="AX36" s="79" t="s">
        <v>147</v>
      </c>
      <c r="AY36" s="71" t="s">
        <v>137</v>
      </c>
      <c r="BA36" s="77">
        <f>AU36+AV36</f>
        <v>0</v>
      </c>
      <c r="BB36" s="77">
        <f>G36/(100-BC36)*100</f>
        <v>0</v>
      </c>
      <c r="BC36" s="77">
        <v>0</v>
      </c>
      <c r="BD36" s="77">
        <f>L36</f>
        <v>1.3939999999999999</v>
      </c>
      <c r="BF36" s="77">
        <f>F36*AM36</f>
        <v>0</v>
      </c>
      <c r="BG36" s="77">
        <f>F36*AN36</f>
        <v>0</v>
      </c>
      <c r="BH36" s="77">
        <f>F36*G36</f>
        <v>0</v>
      </c>
      <c r="BI36" s="77"/>
      <c r="BJ36" s="77">
        <v>17</v>
      </c>
      <c r="BU36" s="77" t="e">
        <f>#REF!</f>
        <v>#REF!</v>
      </c>
      <c r="BV36" s="70" t="s">
        <v>247</v>
      </c>
    </row>
    <row r="37" spans="1:74" ht="54" customHeight="1" x14ac:dyDescent="0.25">
      <c r="A37" s="104"/>
      <c r="B37" s="81" t="s">
        <v>138</v>
      </c>
      <c r="C37" s="303" t="s">
        <v>1054</v>
      </c>
      <c r="D37" s="304"/>
      <c r="E37" s="304"/>
      <c r="F37" s="304"/>
      <c r="G37" s="304"/>
      <c r="H37" s="304"/>
      <c r="I37" s="304"/>
      <c r="J37" s="304"/>
      <c r="K37" s="304"/>
      <c r="L37" s="304"/>
      <c r="M37" s="305"/>
    </row>
    <row r="38" spans="1:74" x14ac:dyDescent="0.25">
      <c r="A38" s="92" t="s">
        <v>172</v>
      </c>
      <c r="B38" s="69" t="s">
        <v>251</v>
      </c>
      <c r="C38" s="306" t="s">
        <v>252</v>
      </c>
      <c r="D38" s="307"/>
      <c r="E38" s="69" t="s">
        <v>177</v>
      </c>
      <c r="F38" s="77">
        <v>0.82</v>
      </c>
      <c r="G38" s="218">
        <v>0</v>
      </c>
      <c r="H38" s="77">
        <f>F38*AM38</f>
        <v>0</v>
      </c>
      <c r="I38" s="77">
        <f>F38*AN38</f>
        <v>0</v>
      </c>
      <c r="J38" s="77">
        <f>F38*G38</f>
        <v>0</v>
      </c>
      <c r="K38" s="77">
        <v>0</v>
      </c>
      <c r="L38" s="77">
        <f>F38*K38</f>
        <v>0</v>
      </c>
      <c r="M38" s="103" t="s">
        <v>35</v>
      </c>
      <c r="X38" s="77">
        <f>IF(AO38="5",BH38,0)</f>
        <v>0</v>
      </c>
      <c r="Z38" s="77">
        <f>IF(AO38="1",BF38,0)</f>
        <v>0</v>
      </c>
      <c r="AA38" s="77">
        <f>IF(AO38="1",BG38,0)</f>
        <v>0</v>
      </c>
      <c r="AB38" s="77">
        <f>IF(AO38="7",BF38,0)</f>
        <v>0</v>
      </c>
      <c r="AC38" s="77">
        <f>IF(AO38="7",BG38,0)</f>
        <v>0</v>
      </c>
      <c r="AD38" s="77">
        <f>IF(AO38="2",BF38,0)</f>
        <v>0</v>
      </c>
      <c r="AE38" s="77">
        <f>IF(AO38="2",BG38,0)</f>
        <v>0</v>
      </c>
      <c r="AF38" s="77">
        <f>IF(AO38="0",BH38,0)</f>
        <v>0</v>
      </c>
      <c r="AG38" s="71" t="s">
        <v>129</v>
      </c>
      <c r="AH38" s="77">
        <f>IF(AL38=0,J38,0)</f>
        <v>0</v>
      </c>
      <c r="AI38" s="77">
        <f>IF(AL38=15,J38,0)</f>
        <v>0</v>
      </c>
      <c r="AJ38" s="77">
        <f>IF(AL38=21,J38,0)</f>
        <v>0</v>
      </c>
      <c r="AL38" s="77">
        <v>15</v>
      </c>
      <c r="AM38" s="77">
        <f>G38*0</f>
        <v>0</v>
      </c>
      <c r="AN38" s="77">
        <f>G38*(1-0)</f>
        <v>0</v>
      </c>
      <c r="AO38" s="79" t="s">
        <v>132</v>
      </c>
      <c r="AT38" s="77">
        <f>AU38+AV38</f>
        <v>0</v>
      </c>
      <c r="AU38" s="77">
        <f>F38*AM38</f>
        <v>0</v>
      </c>
      <c r="AV38" s="77">
        <f>F38*AN38</f>
        <v>0</v>
      </c>
      <c r="AW38" s="79" t="s">
        <v>248</v>
      </c>
      <c r="AX38" s="79" t="s">
        <v>147</v>
      </c>
      <c r="AY38" s="71" t="s">
        <v>137</v>
      </c>
      <c r="BA38" s="77">
        <f>AU38+AV38</f>
        <v>0</v>
      </c>
      <c r="BB38" s="77">
        <f>G38/(100-BC38)*100</f>
        <v>0</v>
      </c>
      <c r="BC38" s="77">
        <v>0</v>
      </c>
      <c r="BD38" s="77">
        <f>L38</f>
        <v>0</v>
      </c>
      <c r="BF38" s="77">
        <f>F38*AM38</f>
        <v>0</v>
      </c>
      <c r="BG38" s="77">
        <f>F38*AN38</f>
        <v>0</v>
      </c>
      <c r="BH38" s="77">
        <f>F38*G38</f>
        <v>0</v>
      </c>
      <c r="BI38" s="77"/>
      <c r="BJ38" s="77">
        <v>17</v>
      </c>
      <c r="BU38" s="77" t="e">
        <f>#REF!</f>
        <v>#REF!</v>
      </c>
      <c r="BV38" s="70" t="s">
        <v>252</v>
      </c>
    </row>
    <row r="39" spans="1:74" ht="40.5" customHeight="1" x14ac:dyDescent="0.25">
      <c r="A39" s="104"/>
      <c r="B39" s="81" t="s">
        <v>138</v>
      </c>
      <c r="C39" s="303" t="s">
        <v>1055</v>
      </c>
      <c r="D39" s="304"/>
      <c r="E39" s="304"/>
      <c r="F39" s="304"/>
      <c r="G39" s="304"/>
      <c r="H39" s="304"/>
      <c r="I39" s="304"/>
      <c r="J39" s="304"/>
      <c r="K39" s="304"/>
      <c r="L39" s="304"/>
      <c r="M39" s="305"/>
    </row>
    <row r="40" spans="1:74" x14ac:dyDescent="0.25">
      <c r="A40" s="92" t="s">
        <v>180</v>
      </c>
      <c r="B40" s="69" t="s">
        <v>254</v>
      </c>
      <c r="C40" s="306" t="s">
        <v>255</v>
      </c>
      <c r="D40" s="307"/>
      <c r="E40" s="69" t="s">
        <v>177</v>
      </c>
      <c r="F40" s="77">
        <v>1.56</v>
      </c>
      <c r="G40" s="218">
        <v>0</v>
      </c>
      <c r="H40" s="77">
        <f>F40*AM40</f>
        <v>0</v>
      </c>
      <c r="I40" s="77">
        <f>F40*AN40</f>
        <v>0</v>
      </c>
      <c r="J40" s="77">
        <f>F40*G40</f>
        <v>0</v>
      </c>
      <c r="K40" s="77">
        <v>0</v>
      </c>
      <c r="L40" s="77">
        <f>F40*K40</f>
        <v>0</v>
      </c>
      <c r="M40" s="103" t="s">
        <v>35</v>
      </c>
      <c r="X40" s="77">
        <f>IF(AO40="5",BH40,0)</f>
        <v>0</v>
      </c>
      <c r="Z40" s="77">
        <f>IF(AO40="1",BF40,0)</f>
        <v>0</v>
      </c>
      <c r="AA40" s="77">
        <f>IF(AO40="1",BG40,0)</f>
        <v>0</v>
      </c>
      <c r="AB40" s="77">
        <f>IF(AO40="7",BF40,0)</f>
        <v>0</v>
      </c>
      <c r="AC40" s="77">
        <f>IF(AO40="7",BG40,0)</f>
        <v>0</v>
      </c>
      <c r="AD40" s="77">
        <f>IF(AO40="2",BF40,0)</f>
        <v>0</v>
      </c>
      <c r="AE40" s="77">
        <f>IF(AO40="2",BG40,0)</f>
        <v>0</v>
      </c>
      <c r="AF40" s="77">
        <f>IF(AO40="0",BH40,0)</f>
        <v>0</v>
      </c>
      <c r="AG40" s="71" t="s">
        <v>129</v>
      </c>
      <c r="AH40" s="77">
        <f>IF(AL40=0,J40,0)</f>
        <v>0</v>
      </c>
      <c r="AI40" s="77">
        <f>IF(AL40=15,J40,0)</f>
        <v>0</v>
      </c>
      <c r="AJ40" s="77">
        <f>IF(AL40=21,J40,0)</f>
        <v>0</v>
      </c>
      <c r="AL40" s="77">
        <v>15</v>
      </c>
      <c r="AM40" s="77">
        <f>G40*0</f>
        <v>0</v>
      </c>
      <c r="AN40" s="77">
        <f>G40*(1-0)</f>
        <v>0</v>
      </c>
      <c r="AO40" s="79" t="s">
        <v>132</v>
      </c>
      <c r="AT40" s="77">
        <f>AU40+AV40</f>
        <v>0</v>
      </c>
      <c r="AU40" s="77">
        <f>F40*AM40</f>
        <v>0</v>
      </c>
      <c r="AV40" s="77">
        <f>F40*AN40</f>
        <v>0</v>
      </c>
      <c r="AW40" s="79" t="s">
        <v>248</v>
      </c>
      <c r="AX40" s="79" t="s">
        <v>147</v>
      </c>
      <c r="AY40" s="71" t="s">
        <v>137</v>
      </c>
      <c r="BA40" s="77">
        <f>AU40+AV40</f>
        <v>0</v>
      </c>
      <c r="BB40" s="77">
        <f>G40/(100-BC40)*100</f>
        <v>0</v>
      </c>
      <c r="BC40" s="77">
        <v>0</v>
      </c>
      <c r="BD40" s="77">
        <f>L40</f>
        <v>0</v>
      </c>
      <c r="BF40" s="77">
        <f>F40*AM40</f>
        <v>0</v>
      </c>
      <c r="BG40" s="77">
        <f>F40*AN40</f>
        <v>0</v>
      </c>
      <c r="BH40" s="77">
        <f>F40*G40</f>
        <v>0</v>
      </c>
      <c r="BI40" s="77"/>
      <c r="BJ40" s="77">
        <v>17</v>
      </c>
      <c r="BU40" s="77" t="e">
        <f>#REF!</f>
        <v>#REF!</v>
      </c>
      <c r="BV40" s="70" t="s">
        <v>255</v>
      </c>
    </row>
    <row r="41" spans="1:74" ht="94.5" customHeight="1" x14ac:dyDescent="0.25">
      <c r="A41" s="104"/>
      <c r="B41" s="81" t="s">
        <v>138</v>
      </c>
      <c r="C41" s="303" t="s">
        <v>1056</v>
      </c>
      <c r="D41" s="304"/>
      <c r="E41" s="304"/>
      <c r="F41" s="304"/>
      <c r="G41" s="304"/>
      <c r="H41" s="304"/>
      <c r="I41" s="304"/>
      <c r="J41" s="304"/>
      <c r="K41" s="304"/>
      <c r="L41" s="304"/>
      <c r="M41" s="305"/>
    </row>
    <row r="42" spans="1:74" x14ac:dyDescent="0.25">
      <c r="A42" s="105" t="s">
        <v>129</v>
      </c>
      <c r="B42" s="74" t="s">
        <v>224</v>
      </c>
      <c r="C42" s="314" t="s">
        <v>257</v>
      </c>
      <c r="D42" s="315"/>
      <c r="E42" s="75" t="s">
        <v>87</v>
      </c>
      <c r="F42" s="75" t="s">
        <v>87</v>
      </c>
      <c r="G42" s="75" t="s">
        <v>87</v>
      </c>
      <c r="H42" s="67">
        <f>SUM(H43:H43)</f>
        <v>0</v>
      </c>
      <c r="I42" s="67">
        <f>SUM(I43:I43)</f>
        <v>0</v>
      </c>
      <c r="J42" s="67">
        <f>SUM(J43:J43)</f>
        <v>0</v>
      </c>
      <c r="K42" s="71" t="s">
        <v>129</v>
      </c>
      <c r="L42" s="67">
        <f>SUM(L43:L43)</f>
        <v>0</v>
      </c>
      <c r="M42" s="106" t="s">
        <v>129</v>
      </c>
      <c r="AG42" s="71" t="s">
        <v>129</v>
      </c>
      <c r="AQ42" s="67">
        <f>SUM(AH43:AH43)</f>
        <v>0</v>
      </c>
      <c r="AR42" s="67">
        <f>SUM(AI43:AI43)</f>
        <v>0</v>
      </c>
      <c r="AS42" s="67">
        <f>SUM(AJ43:AJ43)</f>
        <v>0</v>
      </c>
    </row>
    <row r="43" spans="1:74" x14ac:dyDescent="0.25">
      <c r="A43" s="92" t="s">
        <v>200</v>
      </c>
      <c r="B43" s="69" t="s">
        <v>259</v>
      </c>
      <c r="C43" s="306" t="s">
        <v>260</v>
      </c>
      <c r="D43" s="307"/>
      <c r="E43" s="69" t="s">
        <v>177</v>
      </c>
      <c r="F43" s="77">
        <v>1</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15</v>
      </c>
      <c r="AM43" s="77">
        <f>G43*0</f>
        <v>0</v>
      </c>
      <c r="AN43" s="77">
        <f>G43*(1-0)</f>
        <v>0</v>
      </c>
      <c r="AO43" s="79" t="s">
        <v>132</v>
      </c>
      <c r="AT43" s="77">
        <f>AU43+AV43</f>
        <v>0</v>
      </c>
      <c r="AU43" s="77">
        <f>F43*AM43</f>
        <v>0</v>
      </c>
      <c r="AV43" s="77">
        <f>F43*AN43</f>
        <v>0</v>
      </c>
      <c r="AW43" s="79" t="s">
        <v>261</v>
      </c>
      <c r="AX43" s="79" t="s">
        <v>147</v>
      </c>
      <c r="AY43" s="71" t="s">
        <v>137</v>
      </c>
      <c r="BA43" s="77">
        <f>AU43+AV43</f>
        <v>0</v>
      </c>
      <c r="BB43" s="77">
        <f>G43/(100-BC43)*100</f>
        <v>0</v>
      </c>
      <c r="BC43" s="77">
        <v>0</v>
      </c>
      <c r="BD43" s="77">
        <f>L43</f>
        <v>0</v>
      </c>
      <c r="BF43" s="77">
        <f>F43*AM43</f>
        <v>0</v>
      </c>
      <c r="BG43" s="77">
        <f>F43*AN43</f>
        <v>0</v>
      </c>
      <c r="BH43" s="77">
        <f>F43*G43</f>
        <v>0</v>
      </c>
      <c r="BI43" s="77"/>
      <c r="BJ43" s="77">
        <v>19</v>
      </c>
      <c r="BU43" s="77" t="e">
        <f>#REF!</f>
        <v>#REF!</v>
      </c>
      <c r="BV43" s="70" t="s">
        <v>260</v>
      </c>
    </row>
    <row r="44" spans="1:74" ht="13.5" customHeight="1" x14ac:dyDescent="0.25">
      <c r="A44" s="104"/>
      <c r="B44" s="81" t="s">
        <v>138</v>
      </c>
      <c r="C44" s="303" t="s">
        <v>515</v>
      </c>
      <c r="D44" s="304"/>
      <c r="E44" s="304"/>
      <c r="F44" s="304"/>
      <c r="G44" s="304"/>
      <c r="H44" s="304"/>
      <c r="I44" s="304"/>
      <c r="J44" s="304"/>
      <c r="K44" s="304"/>
      <c r="L44" s="304"/>
      <c r="M44" s="305"/>
    </row>
    <row r="45" spans="1:74" x14ac:dyDescent="0.25">
      <c r="A45" s="105" t="s">
        <v>129</v>
      </c>
      <c r="B45" s="74" t="s">
        <v>232</v>
      </c>
      <c r="C45" s="314" t="s">
        <v>267</v>
      </c>
      <c r="D45" s="315"/>
      <c r="E45" s="75" t="s">
        <v>87</v>
      </c>
      <c r="F45" s="75" t="s">
        <v>87</v>
      </c>
      <c r="G45" s="75" t="s">
        <v>87</v>
      </c>
      <c r="H45" s="67">
        <f>SUM(H46:H46)</f>
        <v>0</v>
      </c>
      <c r="I45" s="67">
        <f>SUM(I46:I46)</f>
        <v>0</v>
      </c>
      <c r="J45" s="67">
        <f>SUM(J46:J46)</f>
        <v>0</v>
      </c>
      <c r="K45" s="71" t="s">
        <v>129</v>
      </c>
      <c r="L45" s="67">
        <f>SUM(L46:L46)</f>
        <v>0</v>
      </c>
      <c r="M45" s="106" t="s">
        <v>129</v>
      </c>
      <c r="AG45" s="71" t="s">
        <v>129</v>
      </c>
      <c r="AQ45" s="67">
        <f>SUM(AH46:AH46)</f>
        <v>0</v>
      </c>
      <c r="AR45" s="67">
        <f>SUM(AI46:AI46)</f>
        <v>0</v>
      </c>
      <c r="AS45" s="67">
        <f>SUM(AJ46:AJ46)</f>
        <v>0</v>
      </c>
    </row>
    <row r="46" spans="1:74" x14ac:dyDescent="0.25">
      <c r="A46" s="92" t="s">
        <v>204</v>
      </c>
      <c r="B46" s="69" t="s">
        <v>927</v>
      </c>
      <c r="C46" s="306" t="s">
        <v>270</v>
      </c>
      <c r="D46" s="307"/>
      <c r="E46" s="69" t="s">
        <v>166</v>
      </c>
      <c r="F46" s="77">
        <v>1.58</v>
      </c>
      <c r="G46" s="218">
        <v>0</v>
      </c>
      <c r="H46" s="77">
        <f>F46*AM46</f>
        <v>0</v>
      </c>
      <c r="I46" s="77">
        <f>F46*AN46</f>
        <v>0</v>
      </c>
      <c r="J46" s="77">
        <f>F46*G46</f>
        <v>0</v>
      </c>
      <c r="K46" s="77">
        <v>0</v>
      </c>
      <c r="L46" s="77">
        <f>F46*K46</f>
        <v>0</v>
      </c>
      <c r="M46" s="103" t="s">
        <v>35</v>
      </c>
      <c r="X46" s="77">
        <f>IF(AO46="5",BH46,0)</f>
        <v>0</v>
      </c>
      <c r="Z46" s="77">
        <f>IF(AO46="1",BF46,0)</f>
        <v>0</v>
      </c>
      <c r="AA46" s="77">
        <f>IF(AO46="1",BG46,0)</f>
        <v>0</v>
      </c>
      <c r="AB46" s="77">
        <f>IF(AO46="7",BF46,0)</f>
        <v>0</v>
      </c>
      <c r="AC46" s="77">
        <f>IF(AO46="7",BG46,0)</f>
        <v>0</v>
      </c>
      <c r="AD46" s="77">
        <f>IF(AO46="2",BF46,0)</f>
        <v>0</v>
      </c>
      <c r="AE46" s="77">
        <f>IF(AO46="2",BG46,0)</f>
        <v>0</v>
      </c>
      <c r="AF46" s="77">
        <f>IF(AO46="0",BH46,0)</f>
        <v>0</v>
      </c>
      <c r="AG46" s="71" t="s">
        <v>129</v>
      </c>
      <c r="AH46" s="77">
        <f>IF(AL46=0,J46,0)</f>
        <v>0</v>
      </c>
      <c r="AI46" s="77">
        <f>IF(AL46=15,J46,0)</f>
        <v>0</v>
      </c>
      <c r="AJ46" s="77">
        <f>IF(AL46=21,J46,0)</f>
        <v>0</v>
      </c>
      <c r="AL46" s="77">
        <v>15</v>
      </c>
      <c r="AM46" s="77">
        <f>G46*0</f>
        <v>0</v>
      </c>
      <c r="AN46" s="77">
        <f>G46*(1-0)</f>
        <v>0</v>
      </c>
      <c r="AO46" s="79" t="s">
        <v>132</v>
      </c>
      <c r="AT46" s="77">
        <f>AU46+AV46</f>
        <v>0</v>
      </c>
      <c r="AU46" s="77">
        <f>F46*AM46</f>
        <v>0</v>
      </c>
      <c r="AV46" s="77">
        <f>F46*AN46</f>
        <v>0</v>
      </c>
      <c r="AW46" s="79" t="s">
        <v>271</v>
      </c>
      <c r="AX46" s="79" t="s">
        <v>272</v>
      </c>
      <c r="AY46" s="71" t="s">
        <v>137</v>
      </c>
      <c r="BA46" s="77">
        <f>AU46+AV46</f>
        <v>0</v>
      </c>
      <c r="BB46" s="77">
        <f>G46/(100-BC46)*100</f>
        <v>0</v>
      </c>
      <c r="BC46" s="77">
        <v>0</v>
      </c>
      <c r="BD46" s="77">
        <f>L46</f>
        <v>0</v>
      </c>
      <c r="BF46" s="77">
        <f>F46*AM46</f>
        <v>0</v>
      </c>
      <c r="BG46" s="77">
        <f>F46*AN46</f>
        <v>0</v>
      </c>
      <c r="BH46" s="77">
        <f>F46*G46</f>
        <v>0</v>
      </c>
      <c r="BI46" s="77"/>
      <c r="BJ46" s="77">
        <v>21</v>
      </c>
      <c r="BU46" s="77" t="e">
        <f>#REF!</f>
        <v>#REF!</v>
      </c>
      <c r="BV46" s="70" t="s">
        <v>270</v>
      </c>
    </row>
    <row r="47" spans="1:74" ht="40.5" customHeight="1" x14ac:dyDescent="0.25">
      <c r="A47" s="104"/>
      <c r="B47" s="81" t="s">
        <v>138</v>
      </c>
      <c r="C47" s="303" t="s">
        <v>1057</v>
      </c>
      <c r="D47" s="304"/>
      <c r="E47" s="304"/>
      <c r="F47" s="304"/>
      <c r="G47" s="304"/>
      <c r="H47" s="304"/>
      <c r="I47" s="304"/>
      <c r="J47" s="304"/>
      <c r="K47" s="304"/>
      <c r="L47" s="304"/>
      <c r="M47" s="305"/>
    </row>
    <row r="48" spans="1:74" x14ac:dyDescent="0.25">
      <c r="A48" s="105" t="s">
        <v>129</v>
      </c>
      <c r="B48" s="74" t="s">
        <v>288</v>
      </c>
      <c r="C48" s="314" t="s">
        <v>289</v>
      </c>
      <c r="D48" s="315"/>
      <c r="E48" s="75" t="s">
        <v>87</v>
      </c>
      <c r="F48" s="75" t="s">
        <v>87</v>
      </c>
      <c r="G48" s="75" t="s">
        <v>87</v>
      </c>
      <c r="H48" s="67">
        <f>SUM(H49:H49)</f>
        <v>0</v>
      </c>
      <c r="I48" s="67">
        <f>SUM(I49:I49)</f>
        <v>0</v>
      </c>
      <c r="J48" s="67">
        <f>SUM(J49:J49)</f>
        <v>0</v>
      </c>
      <c r="K48" s="71" t="s">
        <v>129</v>
      </c>
      <c r="L48" s="67">
        <f>SUM(L49:L49)</f>
        <v>0.45378479999999999</v>
      </c>
      <c r="M48" s="106" t="s">
        <v>129</v>
      </c>
      <c r="AG48" s="71" t="s">
        <v>129</v>
      </c>
      <c r="AQ48" s="67">
        <f>SUM(AH49:AH49)</f>
        <v>0</v>
      </c>
      <c r="AR48" s="67">
        <f>SUM(AI49:AI49)</f>
        <v>0</v>
      </c>
      <c r="AS48" s="67">
        <f>SUM(AJ49:AJ49)</f>
        <v>0</v>
      </c>
    </row>
    <row r="49" spans="1:74" x14ac:dyDescent="0.25">
      <c r="A49" s="92" t="s">
        <v>209</v>
      </c>
      <c r="B49" s="69" t="s">
        <v>291</v>
      </c>
      <c r="C49" s="306" t="s">
        <v>524</v>
      </c>
      <c r="D49" s="307"/>
      <c r="E49" s="69" t="s">
        <v>177</v>
      </c>
      <c r="F49" s="77">
        <v>0.24</v>
      </c>
      <c r="G49" s="218">
        <v>0</v>
      </c>
      <c r="H49" s="77">
        <f>F49*AM49</f>
        <v>0</v>
      </c>
      <c r="I49" s="77">
        <f>F49*AN49</f>
        <v>0</v>
      </c>
      <c r="J49" s="77">
        <f>F49*G49</f>
        <v>0</v>
      </c>
      <c r="K49" s="77">
        <v>1.8907700000000001</v>
      </c>
      <c r="L49" s="77">
        <f>F49*K49</f>
        <v>0.45378479999999999</v>
      </c>
      <c r="M49" s="103" t="s">
        <v>35</v>
      </c>
      <c r="X49" s="77">
        <f>IF(AO49="5",BH49,0)</f>
        <v>0</v>
      </c>
      <c r="Z49" s="77">
        <f>IF(AO49="1",BF49,0)</f>
        <v>0</v>
      </c>
      <c r="AA49" s="77">
        <f>IF(AO49="1",BG49,0)</f>
        <v>0</v>
      </c>
      <c r="AB49" s="77">
        <f>IF(AO49="7",BF49,0)</f>
        <v>0</v>
      </c>
      <c r="AC49" s="77">
        <f>IF(AO49="7",BG49,0)</f>
        <v>0</v>
      </c>
      <c r="AD49" s="77">
        <f>IF(AO49="2",BF49,0)</f>
        <v>0</v>
      </c>
      <c r="AE49" s="77">
        <f>IF(AO49="2",BG49,0)</f>
        <v>0</v>
      </c>
      <c r="AF49" s="77">
        <f>IF(AO49="0",BH49,0)</f>
        <v>0</v>
      </c>
      <c r="AG49" s="71" t="s">
        <v>129</v>
      </c>
      <c r="AH49" s="77">
        <f>IF(AL49=0,J49,0)</f>
        <v>0</v>
      </c>
      <c r="AI49" s="77">
        <f>IF(AL49=15,J49,0)</f>
        <v>0</v>
      </c>
      <c r="AJ49" s="77">
        <f>IF(AL49=21,J49,0)</f>
        <v>0</v>
      </c>
      <c r="AL49" s="77">
        <v>15</v>
      </c>
      <c r="AM49" s="77">
        <f>G49*0.487587983</f>
        <v>0</v>
      </c>
      <c r="AN49" s="77">
        <f>G49*(1-0.487587983)</f>
        <v>0</v>
      </c>
      <c r="AO49" s="79" t="s">
        <v>132</v>
      </c>
      <c r="AT49" s="77">
        <f>AU49+AV49</f>
        <v>0</v>
      </c>
      <c r="AU49" s="77">
        <f>F49*AM49</f>
        <v>0</v>
      </c>
      <c r="AV49" s="77">
        <f>F49*AN49</f>
        <v>0</v>
      </c>
      <c r="AW49" s="79" t="s">
        <v>293</v>
      </c>
      <c r="AX49" s="79" t="s">
        <v>294</v>
      </c>
      <c r="AY49" s="71" t="s">
        <v>137</v>
      </c>
      <c r="BA49" s="77">
        <f>AU49+AV49</f>
        <v>0</v>
      </c>
      <c r="BB49" s="77">
        <f>G49/(100-BC49)*100</f>
        <v>0</v>
      </c>
      <c r="BC49" s="77">
        <v>0</v>
      </c>
      <c r="BD49" s="77">
        <f>L49</f>
        <v>0.45378479999999999</v>
      </c>
      <c r="BF49" s="77">
        <f>F49*AM49</f>
        <v>0</v>
      </c>
      <c r="BG49" s="77">
        <f>F49*AN49</f>
        <v>0</v>
      </c>
      <c r="BH49" s="77">
        <f>F49*G49</f>
        <v>0</v>
      </c>
      <c r="BI49" s="77"/>
      <c r="BJ49" s="77">
        <v>45</v>
      </c>
      <c r="BU49" s="77" t="e">
        <f>#REF!</f>
        <v>#REF!</v>
      </c>
      <c r="BV49" s="70" t="s">
        <v>524</v>
      </c>
    </row>
    <row r="50" spans="1:74" ht="67.5" customHeight="1" x14ac:dyDescent="0.25">
      <c r="A50" s="104"/>
      <c r="B50" s="81" t="s">
        <v>138</v>
      </c>
      <c r="C50" s="303" t="s">
        <v>1058</v>
      </c>
      <c r="D50" s="304"/>
      <c r="E50" s="304"/>
      <c r="F50" s="304"/>
      <c r="G50" s="304"/>
      <c r="H50" s="304"/>
      <c r="I50" s="304"/>
      <c r="J50" s="304"/>
      <c r="K50" s="304"/>
      <c r="L50" s="304"/>
      <c r="M50" s="305"/>
    </row>
    <row r="51" spans="1:74" x14ac:dyDescent="0.25">
      <c r="A51" s="105" t="s">
        <v>129</v>
      </c>
      <c r="B51" s="74" t="s">
        <v>296</v>
      </c>
      <c r="C51" s="314" t="s">
        <v>297</v>
      </c>
      <c r="D51" s="315"/>
      <c r="E51" s="75" t="s">
        <v>87</v>
      </c>
      <c r="F51" s="75" t="s">
        <v>87</v>
      </c>
      <c r="G51" s="75" t="s">
        <v>87</v>
      </c>
      <c r="H51" s="67">
        <f>SUM(H52:H58)</f>
        <v>0</v>
      </c>
      <c r="I51" s="67">
        <f>SUM(I52:I58)</f>
        <v>0</v>
      </c>
      <c r="J51" s="67">
        <f>SUM(J52:J58)</f>
        <v>0</v>
      </c>
      <c r="K51" s="71" t="s">
        <v>129</v>
      </c>
      <c r="L51" s="67">
        <f>SUM(L52:L58)</f>
        <v>4.1835979999999999</v>
      </c>
      <c r="M51" s="106" t="s">
        <v>129</v>
      </c>
      <c r="AG51" s="71" t="s">
        <v>129</v>
      </c>
      <c r="AQ51" s="67">
        <f>SUM(AH52:AH58)</f>
        <v>0</v>
      </c>
      <c r="AR51" s="67">
        <f>SUM(AI52:AI58)</f>
        <v>0</v>
      </c>
      <c r="AS51" s="67">
        <f>SUM(AJ52:AJ58)</f>
        <v>0</v>
      </c>
    </row>
    <row r="52" spans="1:74" x14ac:dyDescent="0.25">
      <c r="A52" s="92" t="s">
        <v>214</v>
      </c>
      <c r="B52" s="69" t="s">
        <v>299</v>
      </c>
      <c r="C52" s="306" t="s">
        <v>300</v>
      </c>
      <c r="D52" s="307"/>
      <c r="E52" s="69" t="s">
        <v>166</v>
      </c>
      <c r="F52" s="77">
        <v>2.25</v>
      </c>
      <c r="G52" s="218">
        <v>0</v>
      </c>
      <c r="H52" s="77">
        <f>F52*AM52</f>
        <v>0</v>
      </c>
      <c r="I52" s="77">
        <f>F52*AN52</f>
        <v>0</v>
      </c>
      <c r="J52" s="77">
        <f>F52*G52</f>
        <v>0</v>
      </c>
      <c r="K52" s="77">
        <v>0.46</v>
      </c>
      <c r="L52" s="77">
        <f>F52*K52</f>
        <v>1.0350000000000001</v>
      </c>
      <c r="M52" s="103"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15</v>
      </c>
      <c r="AM52" s="77">
        <f>G52*0.854884531</f>
        <v>0</v>
      </c>
      <c r="AN52" s="77">
        <f>G52*(1-0.854884531)</f>
        <v>0</v>
      </c>
      <c r="AO52" s="79" t="s">
        <v>132</v>
      </c>
      <c r="AT52" s="77">
        <f>AU52+AV52</f>
        <v>0</v>
      </c>
      <c r="AU52" s="77">
        <f>F52*AM52</f>
        <v>0</v>
      </c>
      <c r="AV52" s="77">
        <f>F52*AN52</f>
        <v>0</v>
      </c>
      <c r="AW52" s="79" t="s">
        <v>301</v>
      </c>
      <c r="AX52" s="79" t="s">
        <v>302</v>
      </c>
      <c r="AY52" s="71" t="s">
        <v>137</v>
      </c>
      <c r="BA52" s="77">
        <f>AU52+AV52</f>
        <v>0</v>
      </c>
      <c r="BB52" s="77">
        <f>G52/(100-BC52)*100</f>
        <v>0</v>
      </c>
      <c r="BC52" s="77">
        <v>0</v>
      </c>
      <c r="BD52" s="77">
        <f>L52</f>
        <v>1.0350000000000001</v>
      </c>
      <c r="BF52" s="77">
        <f>F52*AM52</f>
        <v>0</v>
      </c>
      <c r="BG52" s="77">
        <f>F52*AN52</f>
        <v>0</v>
      </c>
      <c r="BH52" s="77">
        <f>F52*G52</f>
        <v>0</v>
      </c>
      <c r="BI52" s="77"/>
      <c r="BJ52" s="77">
        <v>56</v>
      </c>
      <c r="BU52" s="77" t="e">
        <f>#REF!</f>
        <v>#REF!</v>
      </c>
      <c r="BV52" s="70" t="s">
        <v>300</v>
      </c>
    </row>
    <row r="53" spans="1:74" ht="40.5" customHeight="1" thickBot="1" x14ac:dyDescent="0.3">
      <c r="A53" s="107"/>
      <c r="B53" s="108" t="s">
        <v>138</v>
      </c>
      <c r="C53" s="308" t="s">
        <v>1059</v>
      </c>
      <c r="D53" s="309"/>
      <c r="E53" s="309"/>
      <c r="F53" s="309"/>
      <c r="G53" s="309"/>
      <c r="H53" s="309"/>
      <c r="I53" s="309"/>
      <c r="J53" s="309"/>
      <c r="K53" s="309"/>
      <c r="L53" s="309"/>
      <c r="M53" s="310"/>
    </row>
    <row r="54" spans="1:74" x14ac:dyDescent="0.25">
      <c r="A54" s="122" t="s">
        <v>219</v>
      </c>
      <c r="B54" s="109" t="s">
        <v>305</v>
      </c>
      <c r="C54" s="312" t="s">
        <v>306</v>
      </c>
      <c r="D54" s="313"/>
      <c r="E54" s="109" t="s">
        <v>166</v>
      </c>
      <c r="F54" s="123">
        <v>2.35</v>
      </c>
      <c r="G54" s="219">
        <v>0</v>
      </c>
      <c r="H54" s="123">
        <f>F54*AM54</f>
        <v>0</v>
      </c>
      <c r="I54" s="123">
        <f>F54*AN54</f>
        <v>0</v>
      </c>
      <c r="J54" s="123">
        <f>F54*G54</f>
        <v>0</v>
      </c>
      <c r="K54" s="123">
        <v>0.48574000000000001</v>
      </c>
      <c r="L54" s="123">
        <f>F54*K54</f>
        <v>1.141489</v>
      </c>
      <c r="M54" s="124"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G54*0.813367876</f>
        <v>0</v>
      </c>
      <c r="AN54" s="77">
        <f>G54*(1-0.813367876)</f>
        <v>0</v>
      </c>
      <c r="AO54" s="79" t="s">
        <v>132</v>
      </c>
      <c r="AT54" s="77">
        <f>AU54+AV54</f>
        <v>0</v>
      </c>
      <c r="AU54" s="77">
        <f>F54*AM54</f>
        <v>0</v>
      </c>
      <c r="AV54" s="77">
        <f>F54*AN54</f>
        <v>0</v>
      </c>
      <c r="AW54" s="79" t="s">
        <v>301</v>
      </c>
      <c r="AX54" s="79" t="s">
        <v>302</v>
      </c>
      <c r="AY54" s="71" t="s">
        <v>137</v>
      </c>
      <c r="BA54" s="77">
        <f>AU54+AV54</f>
        <v>0</v>
      </c>
      <c r="BB54" s="77">
        <f>G54/(100-BC54)*100</f>
        <v>0</v>
      </c>
      <c r="BC54" s="77">
        <v>0</v>
      </c>
      <c r="BD54" s="77">
        <f>L54</f>
        <v>1.141489</v>
      </c>
      <c r="BF54" s="77">
        <f>F54*AM54</f>
        <v>0</v>
      </c>
      <c r="BG54" s="77">
        <f>F54*AN54</f>
        <v>0</v>
      </c>
      <c r="BH54" s="77">
        <f>F54*G54</f>
        <v>0</v>
      </c>
      <c r="BI54" s="77"/>
      <c r="BJ54" s="77">
        <v>56</v>
      </c>
      <c r="BU54" s="77" t="e">
        <f>#REF!</f>
        <v>#REF!</v>
      </c>
      <c r="BV54" s="70" t="s">
        <v>306</v>
      </c>
    </row>
    <row r="55" spans="1:74" ht="40.5" customHeight="1" x14ac:dyDescent="0.25">
      <c r="A55" s="104"/>
      <c r="B55" s="81" t="s">
        <v>138</v>
      </c>
      <c r="C55" s="303" t="s">
        <v>1060</v>
      </c>
      <c r="D55" s="304"/>
      <c r="E55" s="304"/>
      <c r="F55" s="304"/>
      <c r="G55" s="304"/>
      <c r="H55" s="304"/>
      <c r="I55" s="304"/>
      <c r="J55" s="304"/>
      <c r="K55" s="304"/>
      <c r="L55" s="304"/>
      <c r="M55" s="305"/>
    </row>
    <row r="56" spans="1:74" x14ac:dyDescent="0.25">
      <c r="A56" s="92" t="s">
        <v>224</v>
      </c>
      <c r="B56" s="69" t="s">
        <v>305</v>
      </c>
      <c r="C56" s="306" t="s">
        <v>306</v>
      </c>
      <c r="D56" s="307"/>
      <c r="E56" s="69" t="s">
        <v>166</v>
      </c>
      <c r="F56" s="77">
        <v>2.35</v>
      </c>
      <c r="G56" s="218">
        <v>0</v>
      </c>
      <c r="H56" s="77">
        <f>F56*AM56</f>
        <v>0</v>
      </c>
      <c r="I56" s="77">
        <f>F56*AN56</f>
        <v>0</v>
      </c>
      <c r="J56" s="77">
        <f>F56*G56</f>
        <v>0</v>
      </c>
      <c r="K56" s="77">
        <v>0.48574000000000001</v>
      </c>
      <c r="L56" s="77">
        <f>F56*K56</f>
        <v>1.141489</v>
      </c>
      <c r="M56" s="103" t="s">
        <v>35</v>
      </c>
      <c r="X56" s="77">
        <f>IF(AO56="5",BH56,0)</f>
        <v>0</v>
      </c>
      <c r="Z56" s="77">
        <f>IF(AO56="1",BF56,0)</f>
        <v>0</v>
      </c>
      <c r="AA56" s="77">
        <f>IF(AO56="1",BG56,0)</f>
        <v>0</v>
      </c>
      <c r="AB56" s="77">
        <f>IF(AO56="7",BF56,0)</f>
        <v>0</v>
      </c>
      <c r="AC56" s="77">
        <f>IF(AO56="7",BG56,0)</f>
        <v>0</v>
      </c>
      <c r="AD56" s="77">
        <f>IF(AO56="2",BF56,0)</f>
        <v>0</v>
      </c>
      <c r="AE56" s="77">
        <f>IF(AO56="2",BG56,0)</f>
        <v>0</v>
      </c>
      <c r="AF56" s="77">
        <f>IF(AO56="0",BH56,0)</f>
        <v>0</v>
      </c>
      <c r="AG56" s="71" t="s">
        <v>129</v>
      </c>
      <c r="AH56" s="77">
        <f>IF(AL56=0,J56,0)</f>
        <v>0</v>
      </c>
      <c r="AI56" s="77">
        <f>IF(AL56=15,J56,0)</f>
        <v>0</v>
      </c>
      <c r="AJ56" s="77">
        <f>IF(AL56=21,J56,0)</f>
        <v>0</v>
      </c>
      <c r="AL56" s="77">
        <v>15</v>
      </c>
      <c r="AM56" s="77">
        <f>G56*0.813367876</f>
        <v>0</v>
      </c>
      <c r="AN56" s="77">
        <f>G56*(1-0.813367876)</f>
        <v>0</v>
      </c>
      <c r="AO56" s="79" t="s">
        <v>132</v>
      </c>
      <c r="AT56" s="77">
        <f>AU56+AV56</f>
        <v>0</v>
      </c>
      <c r="AU56" s="77">
        <f>F56*AM56</f>
        <v>0</v>
      </c>
      <c r="AV56" s="77">
        <f>F56*AN56</f>
        <v>0</v>
      </c>
      <c r="AW56" s="79" t="s">
        <v>301</v>
      </c>
      <c r="AX56" s="79" t="s">
        <v>302</v>
      </c>
      <c r="AY56" s="71" t="s">
        <v>137</v>
      </c>
      <c r="BA56" s="77">
        <f>AU56+AV56</f>
        <v>0</v>
      </c>
      <c r="BB56" s="77">
        <f>G56/(100-BC56)*100</f>
        <v>0</v>
      </c>
      <c r="BC56" s="77">
        <v>0</v>
      </c>
      <c r="BD56" s="77">
        <f>L56</f>
        <v>1.141489</v>
      </c>
      <c r="BF56" s="77">
        <f>F56*AM56</f>
        <v>0</v>
      </c>
      <c r="BG56" s="77">
        <f>F56*AN56</f>
        <v>0</v>
      </c>
      <c r="BH56" s="77">
        <f>F56*G56</f>
        <v>0</v>
      </c>
      <c r="BI56" s="77"/>
      <c r="BJ56" s="77">
        <v>56</v>
      </c>
      <c r="BU56" s="77" t="e">
        <f>#REF!</f>
        <v>#REF!</v>
      </c>
      <c r="BV56" s="70" t="s">
        <v>306</v>
      </c>
    </row>
    <row r="57" spans="1:74" ht="40.5" customHeight="1" x14ac:dyDescent="0.25">
      <c r="A57" s="104"/>
      <c r="B57" s="81" t="s">
        <v>138</v>
      </c>
      <c r="C57" s="303" t="s">
        <v>1060</v>
      </c>
      <c r="D57" s="304"/>
      <c r="E57" s="304"/>
      <c r="F57" s="304"/>
      <c r="G57" s="304"/>
      <c r="H57" s="304"/>
      <c r="I57" s="304"/>
      <c r="J57" s="304"/>
      <c r="K57" s="304"/>
      <c r="L57" s="304"/>
      <c r="M57" s="305"/>
    </row>
    <row r="58" spans="1:74" x14ac:dyDescent="0.25">
      <c r="A58" s="92" t="s">
        <v>228</v>
      </c>
      <c r="B58" s="69" t="s">
        <v>311</v>
      </c>
      <c r="C58" s="306" t="s">
        <v>312</v>
      </c>
      <c r="D58" s="307"/>
      <c r="E58" s="69" t="s">
        <v>166</v>
      </c>
      <c r="F58" s="77">
        <v>2.29</v>
      </c>
      <c r="G58" s="218">
        <v>0</v>
      </c>
      <c r="H58" s="77">
        <f>F58*AM58</f>
        <v>0</v>
      </c>
      <c r="I58" s="77">
        <f>F58*AN58</f>
        <v>0</v>
      </c>
      <c r="J58" s="77">
        <f>F58*G58</f>
        <v>0</v>
      </c>
      <c r="K58" s="77">
        <v>0.378</v>
      </c>
      <c r="L58" s="77">
        <f>F58*K58</f>
        <v>0.86562000000000006</v>
      </c>
      <c r="M58" s="103" t="s">
        <v>35</v>
      </c>
      <c r="X58" s="77">
        <f>IF(AO58="5",BH58,0)</f>
        <v>0</v>
      </c>
      <c r="Z58" s="77">
        <f>IF(AO58="1",BF58,0)</f>
        <v>0</v>
      </c>
      <c r="AA58" s="77">
        <f>IF(AO58="1",BG58,0)</f>
        <v>0</v>
      </c>
      <c r="AB58" s="77">
        <f>IF(AO58="7",BF58,0)</f>
        <v>0</v>
      </c>
      <c r="AC58" s="77">
        <f>IF(AO58="7",BG58,0)</f>
        <v>0</v>
      </c>
      <c r="AD58" s="77">
        <f>IF(AO58="2",BF58,0)</f>
        <v>0</v>
      </c>
      <c r="AE58" s="77">
        <f>IF(AO58="2",BG58,0)</f>
        <v>0</v>
      </c>
      <c r="AF58" s="77">
        <f>IF(AO58="0",BH58,0)</f>
        <v>0</v>
      </c>
      <c r="AG58" s="71" t="s">
        <v>129</v>
      </c>
      <c r="AH58" s="77">
        <f>IF(AL58=0,J58,0)</f>
        <v>0</v>
      </c>
      <c r="AI58" s="77">
        <f>IF(AL58=15,J58,0)</f>
        <v>0</v>
      </c>
      <c r="AJ58" s="77">
        <f>IF(AL58=21,J58,0)</f>
        <v>0</v>
      </c>
      <c r="AL58" s="77">
        <v>15</v>
      </c>
      <c r="AM58" s="77">
        <f>G58*0.826770341</f>
        <v>0</v>
      </c>
      <c r="AN58" s="77">
        <f>G58*(1-0.826770341)</f>
        <v>0</v>
      </c>
      <c r="AO58" s="79" t="s">
        <v>132</v>
      </c>
      <c r="AT58" s="77">
        <f>AU58+AV58</f>
        <v>0</v>
      </c>
      <c r="AU58" s="77">
        <f>F58*AM58</f>
        <v>0</v>
      </c>
      <c r="AV58" s="77">
        <f>F58*AN58</f>
        <v>0</v>
      </c>
      <c r="AW58" s="79" t="s">
        <v>301</v>
      </c>
      <c r="AX58" s="79" t="s">
        <v>302</v>
      </c>
      <c r="AY58" s="71" t="s">
        <v>137</v>
      </c>
      <c r="BA58" s="77">
        <f>AU58+AV58</f>
        <v>0</v>
      </c>
      <c r="BB58" s="77">
        <f>G58/(100-BC58)*100</f>
        <v>0</v>
      </c>
      <c r="BC58" s="77">
        <v>0</v>
      </c>
      <c r="BD58" s="77">
        <f>L58</f>
        <v>0.86562000000000006</v>
      </c>
      <c r="BF58" s="77">
        <f>F58*AM58</f>
        <v>0</v>
      </c>
      <c r="BG58" s="77">
        <f>F58*AN58</f>
        <v>0</v>
      </c>
      <c r="BH58" s="77">
        <f>F58*G58</f>
        <v>0</v>
      </c>
      <c r="BI58" s="77"/>
      <c r="BJ58" s="77">
        <v>56</v>
      </c>
      <c r="BU58" s="77" t="e">
        <f>#REF!</f>
        <v>#REF!</v>
      </c>
      <c r="BV58" s="70" t="s">
        <v>312</v>
      </c>
    </row>
    <row r="59" spans="1:74" ht="40.5" customHeight="1" x14ac:dyDescent="0.25">
      <c r="A59" s="104"/>
      <c r="B59" s="81" t="s">
        <v>138</v>
      </c>
      <c r="C59" s="303" t="s">
        <v>1061</v>
      </c>
      <c r="D59" s="304"/>
      <c r="E59" s="304"/>
      <c r="F59" s="304"/>
      <c r="G59" s="304"/>
      <c r="H59" s="304"/>
      <c r="I59" s="304"/>
      <c r="J59" s="304"/>
      <c r="K59" s="304"/>
      <c r="L59" s="304"/>
      <c r="M59" s="305"/>
    </row>
    <row r="60" spans="1:74" x14ac:dyDescent="0.25">
      <c r="A60" s="105" t="s">
        <v>129</v>
      </c>
      <c r="B60" s="74" t="s">
        <v>651</v>
      </c>
      <c r="C60" s="314" t="s">
        <v>935</v>
      </c>
      <c r="D60" s="315"/>
      <c r="E60" s="75" t="s">
        <v>87</v>
      </c>
      <c r="F60" s="75" t="s">
        <v>87</v>
      </c>
      <c r="G60" s="75" t="s">
        <v>87</v>
      </c>
      <c r="H60" s="67">
        <f>SUM(H61:H61)</f>
        <v>0</v>
      </c>
      <c r="I60" s="67">
        <f>SUM(I61:I61)</f>
        <v>0</v>
      </c>
      <c r="J60" s="67">
        <f>SUM(J61:J61)</f>
        <v>0</v>
      </c>
      <c r="K60" s="71" t="s">
        <v>129</v>
      </c>
      <c r="L60" s="67">
        <f>SUM(L61:L61)</f>
        <v>0.77805000000000013</v>
      </c>
      <c r="M60" s="106" t="s">
        <v>129</v>
      </c>
      <c r="AG60" s="71" t="s">
        <v>129</v>
      </c>
      <c r="AQ60" s="67">
        <f>SUM(AH61:AH61)</f>
        <v>0</v>
      </c>
      <c r="AR60" s="67">
        <f>SUM(AI61:AI61)</f>
        <v>0</v>
      </c>
      <c r="AS60" s="67">
        <f>SUM(AJ61:AJ61)</f>
        <v>0</v>
      </c>
    </row>
    <row r="61" spans="1:74" x14ac:dyDescent="0.25">
      <c r="A61" s="92" t="s">
        <v>232</v>
      </c>
      <c r="B61" s="69" t="s">
        <v>936</v>
      </c>
      <c r="C61" s="306" t="s">
        <v>937</v>
      </c>
      <c r="D61" s="307"/>
      <c r="E61" s="69" t="s">
        <v>145</v>
      </c>
      <c r="F61" s="77">
        <v>1.5</v>
      </c>
      <c r="G61" s="218">
        <v>0</v>
      </c>
      <c r="H61" s="77">
        <f>F61*AM61</f>
        <v>0</v>
      </c>
      <c r="I61" s="77">
        <f>F61*AN61</f>
        <v>0</v>
      </c>
      <c r="J61" s="77">
        <f>F61*G61</f>
        <v>0</v>
      </c>
      <c r="K61" s="77">
        <v>0.51870000000000005</v>
      </c>
      <c r="L61" s="77">
        <f>F61*K61</f>
        <v>0.77805000000000013</v>
      </c>
      <c r="M61" s="103" t="s">
        <v>35</v>
      </c>
      <c r="X61" s="77">
        <f>IF(AO61="5",BH61,0)</f>
        <v>0</v>
      </c>
      <c r="Z61" s="77">
        <f>IF(AO61="1",BF61,0)</f>
        <v>0</v>
      </c>
      <c r="AA61" s="77">
        <f>IF(AO61="1",BG61,0)</f>
        <v>0</v>
      </c>
      <c r="AB61" s="77">
        <f>IF(AO61="7",BF61,0)</f>
        <v>0</v>
      </c>
      <c r="AC61" s="77">
        <f>IF(AO61="7",BG61,0)</f>
        <v>0</v>
      </c>
      <c r="AD61" s="77">
        <f>IF(AO61="2",BF61,0)</f>
        <v>0</v>
      </c>
      <c r="AE61" s="77">
        <f>IF(AO61="2",BG61,0)</f>
        <v>0</v>
      </c>
      <c r="AF61" s="77">
        <f>IF(AO61="0",BH61,0)</f>
        <v>0</v>
      </c>
      <c r="AG61" s="71" t="s">
        <v>129</v>
      </c>
      <c r="AH61" s="77">
        <f>IF(AL61=0,J61,0)</f>
        <v>0</v>
      </c>
      <c r="AI61" s="77">
        <f>IF(AL61=15,J61,0)</f>
        <v>0</v>
      </c>
      <c r="AJ61" s="77">
        <f>IF(AL61=21,J61,0)</f>
        <v>0</v>
      </c>
      <c r="AL61" s="77">
        <v>15</v>
      </c>
      <c r="AM61" s="77">
        <f>G61*0.329920859</f>
        <v>0</v>
      </c>
      <c r="AN61" s="77">
        <f>G61*(1-0.329920859)</f>
        <v>0</v>
      </c>
      <c r="AO61" s="79" t="s">
        <v>132</v>
      </c>
      <c r="AT61" s="77">
        <f>AU61+AV61</f>
        <v>0</v>
      </c>
      <c r="AU61" s="77">
        <f>F61*AM61</f>
        <v>0</v>
      </c>
      <c r="AV61" s="77">
        <f>F61*AN61</f>
        <v>0</v>
      </c>
      <c r="AW61" s="79" t="s">
        <v>938</v>
      </c>
      <c r="AX61" s="79" t="s">
        <v>320</v>
      </c>
      <c r="AY61" s="71" t="s">
        <v>137</v>
      </c>
      <c r="BA61" s="77">
        <f>AU61+AV61</f>
        <v>0</v>
      </c>
      <c r="BB61" s="77">
        <f>G61/(100-BC61)*100</f>
        <v>0</v>
      </c>
      <c r="BC61" s="77">
        <v>0</v>
      </c>
      <c r="BD61" s="77">
        <f>L61</f>
        <v>0.77805000000000013</v>
      </c>
      <c r="BF61" s="77">
        <f>F61*AM61</f>
        <v>0</v>
      </c>
      <c r="BG61" s="77">
        <f>F61*AN61</f>
        <v>0</v>
      </c>
      <c r="BH61" s="77">
        <f>F61*G61</f>
        <v>0</v>
      </c>
      <c r="BI61" s="77"/>
      <c r="BJ61" s="77">
        <v>83</v>
      </c>
      <c r="BU61" s="77" t="e">
        <f>#REF!</f>
        <v>#REF!</v>
      </c>
      <c r="BV61" s="70" t="s">
        <v>937</v>
      </c>
    </row>
    <row r="62" spans="1:74" ht="121.5" customHeight="1" x14ac:dyDescent="0.25">
      <c r="A62" s="104"/>
      <c r="B62" s="81" t="s">
        <v>138</v>
      </c>
      <c r="C62" s="303" t="s">
        <v>1062</v>
      </c>
      <c r="D62" s="304"/>
      <c r="E62" s="304"/>
      <c r="F62" s="304"/>
      <c r="G62" s="304"/>
      <c r="H62" s="304"/>
      <c r="I62" s="304"/>
      <c r="J62" s="304"/>
      <c r="K62" s="304"/>
      <c r="L62" s="304"/>
      <c r="M62" s="305"/>
    </row>
    <row r="63" spans="1:74" x14ac:dyDescent="0.25">
      <c r="A63" s="105" t="s">
        <v>129</v>
      </c>
      <c r="B63" s="74" t="s">
        <v>378</v>
      </c>
      <c r="C63" s="314" t="s">
        <v>379</v>
      </c>
      <c r="D63" s="315"/>
      <c r="E63" s="75" t="s">
        <v>87</v>
      </c>
      <c r="F63" s="75" t="s">
        <v>87</v>
      </c>
      <c r="G63" s="75" t="s">
        <v>87</v>
      </c>
      <c r="H63" s="67">
        <f>SUM(H64:H64)</f>
        <v>0</v>
      </c>
      <c r="I63" s="67">
        <f>SUM(I64:I64)</f>
        <v>0</v>
      </c>
      <c r="J63" s="67">
        <f>SUM(J64:J64)</f>
        <v>0</v>
      </c>
      <c r="K63" s="71" t="s">
        <v>129</v>
      </c>
      <c r="L63" s="67">
        <f>SUM(L64:L64)</f>
        <v>0</v>
      </c>
      <c r="M63" s="106" t="s">
        <v>129</v>
      </c>
      <c r="AG63" s="71" t="s">
        <v>129</v>
      </c>
      <c r="AQ63" s="67">
        <f>SUM(AH64:AH64)</f>
        <v>0</v>
      </c>
      <c r="AR63" s="67">
        <f>SUM(AI64:AI64)</f>
        <v>0</v>
      </c>
      <c r="AS63" s="67">
        <f>SUM(AJ64:AJ64)</f>
        <v>0</v>
      </c>
    </row>
    <row r="64" spans="1:74" ht="25.5" x14ac:dyDescent="0.25">
      <c r="A64" s="92" t="s">
        <v>236</v>
      </c>
      <c r="B64" s="69" t="s">
        <v>381</v>
      </c>
      <c r="C64" s="306" t="s">
        <v>382</v>
      </c>
      <c r="D64" s="307"/>
      <c r="E64" s="69" t="s">
        <v>281</v>
      </c>
      <c r="F64" s="77">
        <v>2.19</v>
      </c>
      <c r="G64" s="218">
        <v>0</v>
      </c>
      <c r="H64" s="77">
        <f>F64*AM64</f>
        <v>0</v>
      </c>
      <c r="I64" s="77">
        <f>F64*AN64</f>
        <v>0</v>
      </c>
      <c r="J64" s="77">
        <f>F64*G64</f>
        <v>0</v>
      </c>
      <c r="K64" s="77">
        <v>0</v>
      </c>
      <c r="L64" s="77">
        <f>F64*K64</f>
        <v>0</v>
      </c>
      <c r="M64" s="103" t="s">
        <v>35</v>
      </c>
      <c r="X64" s="77">
        <f>IF(AO64="5",BH64,0)</f>
        <v>0</v>
      </c>
      <c r="Z64" s="77">
        <f>IF(AO64="1",BF64,0)</f>
        <v>0</v>
      </c>
      <c r="AA64" s="77">
        <f>IF(AO64="1",BG64,0)</f>
        <v>0</v>
      </c>
      <c r="AB64" s="77">
        <f>IF(AO64="7",BF64,0)</f>
        <v>0</v>
      </c>
      <c r="AC64" s="77">
        <f>IF(AO64="7",BG64,0)</f>
        <v>0</v>
      </c>
      <c r="AD64" s="77">
        <f>IF(AO64="2",BF64,0)</f>
        <v>0</v>
      </c>
      <c r="AE64" s="77">
        <f>IF(AO64="2",BG64,0)</f>
        <v>0</v>
      </c>
      <c r="AF64" s="77">
        <f>IF(AO64="0",BH64,0)</f>
        <v>0</v>
      </c>
      <c r="AG64" s="71" t="s">
        <v>129</v>
      </c>
      <c r="AH64" s="77">
        <f>IF(AL64=0,J64,0)</f>
        <v>0</v>
      </c>
      <c r="AI64" s="77">
        <f>IF(AL64=15,J64,0)</f>
        <v>0</v>
      </c>
      <c r="AJ64" s="77">
        <f>IF(AL64=21,J64,0)</f>
        <v>0</v>
      </c>
      <c r="AL64" s="77">
        <v>15</v>
      </c>
      <c r="AM64" s="77">
        <f>G64*0</f>
        <v>0</v>
      </c>
      <c r="AN64" s="77">
        <f>G64*(1-0)</f>
        <v>0</v>
      </c>
      <c r="AO64" s="79" t="s">
        <v>132</v>
      </c>
      <c r="AT64" s="77">
        <f>AU64+AV64</f>
        <v>0</v>
      </c>
      <c r="AU64" s="77">
        <f>F64*AM64</f>
        <v>0</v>
      </c>
      <c r="AV64" s="77">
        <f>F64*AN64</f>
        <v>0</v>
      </c>
      <c r="AW64" s="79" t="s">
        <v>383</v>
      </c>
      <c r="AX64" s="79" t="s">
        <v>384</v>
      </c>
      <c r="AY64" s="71" t="s">
        <v>137</v>
      </c>
      <c r="BA64" s="77">
        <f>AU64+AV64</f>
        <v>0</v>
      </c>
      <c r="BB64" s="77">
        <f>G64/(100-BC64)*100</f>
        <v>0</v>
      </c>
      <c r="BC64" s="77">
        <v>0</v>
      </c>
      <c r="BD64" s="77">
        <f>L64</f>
        <v>0</v>
      </c>
      <c r="BF64" s="77">
        <f>F64*AM64</f>
        <v>0</v>
      </c>
      <c r="BG64" s="77">
        <f>F64*AN64</f>
        <v>0</v>
      </c>
      <c r="BH64" s="77">
        <f>F64*G64</f>
        <v>0</v>
      </c>
      <c r="BI64" s="77"/>
      <c r="BJ64" s="77">
        <v>97</v>
      </c>
      <c r="BU64" s="77" t="e">
        <f>#REF!</f>
        <v>#REF!</v>
      </c>
      <c r="BV64" s="70" t="s">
        <v>382</v>
      </c>
    </row>
    <row r="65" spans="1:74" ht="27" customHeight="1" x14ac:dyDescent="0.25">
      <c r="A65" s="104"/>
      <c r="B65" s="81" t="s">
        <v>138</v>
      </c>
      <c r="C65" s="303" t="s">
        <v>1063</v>
      </c>
      <c r="D65" s="304"/>
      <c r="E65" s="304"/>
      <c r="F65" s="304"/>
      <c r="G65" s="304"/>
      <c r="H65" s="304"/>
      <c r="I65" s="304"/>
      <c r="J65" s="304"/>
      <c r="K65" s="304"/>
      <c r="L65" s="304"/>
      <c r="M65" s="305"/>
    </row>
    <row r="66" spans="1:74" x14ac:dyDescent="0.25">
      <c r="A66" s="105" t="s">
        <v>129</v>
      </c>
      <c r="B66" s="74" t="s">
        <v>386</v>
      </c>
      <c r="C66" s="314" t="s">
        <v>387</v>
      </c>
      <c r="D66" s="315"/>
      <c r="E66" s="75" t="s">
        <v>87</v>
      </c>
      <c r="F66" s="75" t="s">
        <v>87</v>
      </c>
      <c r="G66" s="75" t="s">
        <v>87</v>
      </c>
      <c r="H66" s="67">
        <f>SUM(H67:H70)</f>
        <v>0</v>
      </c>
      <c r="I66" s="67">
        <f>SUM(I67:I70)</f>
        <v>0</v>
      </c>
      <c r="J66" s="67">
        <f>SUM(J67:J70)</f>
        <v>0</v>
      </c>
      <c r="K66" s="71" t="s">
        <v>129</v>
      </c>
      <c r="L66" s="67">
        <f>SUM(L67:L70)</f>
        <v>0</v>
      </c>
      <c r="M66" s="106" t="s">
        <v>129</v>
      </c>
      <c r="AG66" s="71" t="s">
        <v>129</v>
      </c>
      <c r="AQ66" s="67">
        <f>SUM(AH67:AH70)</f>
        <v>0</v>
      </c>
      <c r="AR66" s="67">
        <f>SUM(AI67:AI70)</f>
        <v>0</v>
      </c>
      <c r="AS66" s="67">
        <f>SUM(AJ67:AJ70)</f>
        <v>0</v>
      </c>
    </row>
    <row r="67" spans="1:74" ht="25.5" x14ac:dyDescent="0.25">
      <c r="A67" s="92" t="s">
        <v>240</v>
      </c>
      <c r="B67" s="69" t="s">
        <v>389</v>
      </c>
      <c r="C67" s="306" t="s">
        <v>390</v>
      </c>
      <c r="D67" s="307"/>
      <c r="E67" s="69" t="s">
        <v>281</v>
      </c>
      <c r="F67" s="77">
        <v>2.92</v>
      </c>
      <c r="G67" s="218">
        <v>0</v>
      </c>
      <c r="H67" s="77">
        <f>F67*AM67</f>
        <v>0</v>
      </c>
      <c r="I67" s="77">
        <f>F67*AN67</f>
        <v>0</v>
      </c>
      <c r="J67" s="77">
        <f>F67*G67</f>
        <v>0</v>
      </c>
      <c r="K67" s="77">
        <v>0</v>
      </c>
      <c r="L67" s="77">
        <f>F67*K67</f>
        <v>0</v>
      </c>
      <c r="M67" s="103" t="s">
        <v>35</v>
      </c>
      <c r="X67" s="77">
        <f>IF(AO67="5",BH67,0)</f>
        <v>0</v>
      </c>
      <c r="Z67" s="77">
        <f>IF(AO67="1",BF67,0)</f>
        <v>0</v>
      </c>
      <c r="AA67" s="77">
        <f>IF(AO67="1",BG67,0)</f>
        <v>0</v>
      </c>
      <c r="AB67" s="77">
        <f>IF(AO67="7",BF67,0)</f>
        <v>0</v>
      </c>
      <c r="AC67" s="77">
        <f>IF(AO67="7",BG67,0)</f>
        <v>0</v>
      </c>
      <c r="AD67" s="77">
        <f>IF(AO67="2",BF67,0)</f>
        <v>0</v>
      </c>
      <c r="AE67" s="77">
        <f>IF(AO67="2",BG67,0)</f>
        <v>0</v>
      </c>
      <c r="AF67" s="77">
        <f>IF(AO67="0",BH67,0)</f>
        <v>0</v>
      </c>
      <c r="AG67" s="71" t="s">
        <v>129</v>
      </c>
      <c r="AH67" s="77">
        <f>IF(AL67=0,J67,0)</f>
        <v>0</v>
      </c>
      <c r="AI67" s="77">
        <f>IF(AL67=15,J67,0)</f>
        <v>0</v>
      </c>
      <c r="AJ67" s="77">
        <f>IF(AL67=21,J67,0)</f>
        <v>0</v>
      </c>
      <c r="AL67" s="77">
        <v>15</v>
      </c>
      <c r="AM67" s="77">
        <f>G67*0</f>
        <v>0</v>
      </c>
      <c r="AN67" s="77">
        <f>G67*(1-0)</f>
        <v>0</v>
      </c>
      <c r="AO67" s="79" t="s">
        <v>158</v>
      </c>
      <c r="AT67" s="77">
        <f>AU67+AV67</f>
        <v>0</v>
      </c>
      <c r="AU67" s="77">
        <f>F67*AM67</f>
        <v>0</v>
      </c>
      <c r="AV67" s="77">
        <f>F67*AN67</f>
        <v>0</v>
      </c>
      <c r="AW67" s="79" t="s">
        <v>391</v>
      </c>
      <c r="AX67" s="79" t="s">
        <v>384</v>
      </c>
      <c r="AY67" s="71" t="s">
        <v>137</v>
      </c>
      <c r="BA67" s="77">
        <f>AU67+AV67</f>
        <v>0</v>
      </c>
      <c r="BB67" s="77">
        <f>G67/(100-BC67)*100</f>
        <v>0</v>
      </c>
      <c r="BC67" s="77">
        <v>0</v>
      </c>
      <c r="BD67" s="77">
        <f>L67</f>
        <v>0</v>
      </c>
      <c r="BF67" s="77">
        <f>F67*AM67</f>
        <v>0</v>
      </c>
      <c r="BG67" s="77">
        <f>F67*AN67</f>
        <v>0</v>
      </c>
      <c r="BH67" s="77">
        <f>F67*G67</f>
        <v>0</v>
      </c>
      <c r="BI67" s="77"/>
      <c r="BJ67" s="77"/>
      <c r="BU67" s="77" t="e">
        <f>#REF!</f>
        <v>#REF!</v>
      </c>
      <c r="BV67" s="70" t="s">
        <v>390</v>
      </c>
    </row>
    <row r="68" spans="1:74" x14ac:dyDescent="0.25">
      <c r="A68" s="92" t="s">
        <v>245</v>
      </c>
      <c r="B68" s="69" t="s">
        <v>393</v>
      </c>
      <c r="C68" s="306" t="s">
        <v>394</v>
      </c>
      <c r="D68" s="307"/>
      <c r="E68" s="69" t="s">
        <v>281</v>
      </c>
      <c r="F68" s="77">
        <v>10.95</v>
      </c>
      <c r="G68" s="218">
        <v>0</v>
      </c>
      <c r="H68" s="77">
        <f>F68*AM68</f>
        <v>0</v>
      </c>
      <c r="I68" s="77">
        <f>F68*AN68</f>
        <v>0</v>
      </c>
      <c r="J68" s="77">
        <f>F68*G68</f>
        <v>0</v>
      </c>
      <c r="K68" s="77">
        <v>0</v>
      </c>
      <c r="L68" s="77">
        <f>F68*K68</f>
        <v>0</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f>
        <v>0</v>
      </c>
      <c r="AN68" s="77">
        <f>G68*(1-0)</f>
        <v>0</v>
      </c>
      <c r="AO68" s="79" t="s">
        <v>158</v>
      </c>
      <c r="AT68" s="77">
        <f>AU68+AV68</f>
        <v>0</v>
      </c>
      <c r="AU68" s="77">
        <f>F68*AM68</f>
        <v>0</v>
      </c>
      <c r="AV68" s="77">
        <f>F68*AN68</f>
        <v>0</v>
      </c>
      <c r="AW68" s="79" t="s">
        <v>391</v>
      </c>
      <c r="AX68" s="79" t="s">
        <v>384</v>
      </c>
      <c r="AY68" s="71" t="s">
        <v>137</v>
      </c>
      <c r="BA68" s="77">
        <f>AU68+AV68</f>
        <v>0</v>
      </c>
      <c r="BB68" s="77">
        <f>G68/(100-BC68)*100</f>
        <v>0</v>
      </c>
      <c r="BC68" s="77">
        <v>0</v>
      </c>
      <c r="BD68" s="77">
        <f>L68</f>
        <v>0</v>
      </c>
      <c r="BF68" s="77">
        <f>F68*AM68</f>
        <v>0</v>
      </c>
      <c r="BG68" s="77">
        <f>F68*AN68</f>
        <v>0</v>
      </c>
      <c r="BH68" s="77">
        <f>F68*G68</f>
        <v>0</v>
      </c>
      <c r="BI68" s="77"/>
      <c r="BJ68" s="77"/>
      <c r="BU68" s="77" t="e">
        <f>#REF!</f>
        <v>#REF!</v>
      </c>
      <c r="BV68" s="70" t="s">
        <v>394</v>
      </c>
    </row>
    <row r="69" spans="1:74" ht="40.5" customHeight="1" x14ac:dyDescent="0.25">
      <c r="A69" s="104"/>
      <c r="B69" s="81" t="s">
        <v>138</v>
      </c>
      <c r="C69" s="303" t="s">
        <v>1064</v>
      </c>
      <c r="D69" s="304"/>
      <c r="E69" s="304"/>
      <c r="F69" s="304"/>
      <c r="G69" s="304"/>
      <c r="H69" s="304"/>
      <c r="I69" s="304"/>
      <c r="J69" s="304"/>
      <c r="K69" s="304"/>
      <c r="L69" s="304"/>
      <c r="M69" s="305"/>
    </row>
    <row r="70" spans="1:74" x14ac:dyDescent="0.25">
      <c r="A70" s="92" t="s">
        <v>250</v>
      </c>
      <c r="B70" s="69" t="s">
        <v>798</v>
      </c>
      <c r="C70" s="306" t="s">
        <v>799</v>
      </c>
      <c r="D70" s="307"/>
      <c r="E70" s="69" t="s">
        <v>281</v>
      </c>
      <c r="F70" s="77">
        <v>3.65</v>
      </c>
      <c r="G70" s="218">
        <v>0</v>
      </c>
      <c r="H70" s="77">
        <f>F70*AM70</f>
        <v>0</v>
      </c>
      <c r="I70" s="77">
        <f>F70*AN70</f>
        <v>0</v>
      </c>
      <c r="J70" s="77">
        <f>F70*G70</f>
        <v>0</v>
      </c>
      <c r="K70" s="77">
        <v>0</v>
      </c>
      <c r="L70" s="77">
        <f>F70*K70</f>
        <v>0</v>
      </c>
      <c r="M70" s="103" t="s">
        <v>35</v>
      </c>
      <c r="X70" s="77">
        <f>IF(AO70="5",BH70,0)</f>
        <v>0</v>
      </c>
      <c r="Z70" s="77">
        <f>IF(AO70="1",BF70,0)</f>
        <v>0</v>
      </c>
      <c r="AA70" s="77">
        <f>IF(AO70="1",BG70,0)</f>
        <v>0</v>
      </c>
      <c r="AB70" s="77">
        <f>IF(AO70="7",BF70,0)</f>
        <v>0</v>
      </c>
      <c r="AC70" s="77">
        <f>IF(AO70="7",BG70,0)</f>
        <v>0</v>
      </c>
      <c r="AD70" s="77">
        <f>IF(AO70="2",BF70,0)</f>
        <v>0</v>
      </c>
      <c r="AE70" s="77">
        <f>IF(AO70="2",BG70,0)</f>
        <v>0</v>
      </c>
      <c r="AF70" s="77">
        <f>IF(AO70="0",BH70,0)</f>
        <v>0</v>
      </c>
      <c r="AG70" s="71" t="s">
        <v>129</v>
      </c>
      <c r="AH70" s="77">
        <f>IF(AL70=0,J70,0)</f>
        <v>0</v>
      </c>
      <c r="AI70" s="77">
        <f>IF(AL70=15,J70,0)</f>
        <v>0</v>
      </c>
      <c r="AJ70" s="77">
        <f>IF(AL70=21,J70,0)</f>
        <v>0</v>
      </c>
      <c r="AL70" s="77">
        <v>15</v>
      </c>
      <c r="AM70" s="77">
        <f>G70*0</f>
        <v>0</v>
      </c>
      <c r="AN70" s="77">
        <f>G70*(1-0)</f>
        <v>0</v>
      </c>
      <c r="AO70" s="79" t="s">
        <v>158</v>
      </c>
      <c r="AT70" s="77">
        <f>AU70+AV70</f>
        <v>0</v>
      </c>
      <c r="AU70" s="77">
        <f>F70*AM70</f>
        <v>0</v>
      </c>
      <c r="AV70" s="77">
        <f>F70*AN70</f>
        <v>0</v>
      </c>
      <c r="AW70" s="79" t="s">
        <v>391</v>
      </c>
      <c r="AX70" s="79" t="s">
        <v>384</v>
      </c>
      <c r="AY70" s="71" t="s">
        <v>137</v>
      </c>
      <c r="BA70" s="77">
        <f>AU70+AV70</f>
        <v>0</v>
      </c>
      <c r="BB70" s="77">
        <f>G70/(100-BC70)*100</f>
        <v>0</v>
      </c>
      <c r="BC70" s="77">
        <v>0</v>
      </c>
      <c r="BD70" s="77">
        <f>L70</f>
        <v>0</v>
      </c>
      <c r="BF70" s="77">
        <f>F70*AM70</f>
        <v>0</v>
      </c>
      <c r="BG70" s="77">
        <f>F70*AN70</f>
        <v>0</v>
      </c>
      <c r="BH70" s="77">
        <f>F70*G70</f>
        <v>0</v>
      </c>
      <c r="BI70" s="77"/>
      <c r="BJ70" s="77"/>
      <c r="BU70" s="77" t="e">
        <f>#REF!</f>
        <v>#REF!</v>
      </c>
      <c r="BV70" s="70" t="s">
        <v>799</v>
      </c>
    </row>
    <row r="71" spans="1:74" ht="40.5" customHeight="1" x14ac:dyDescent="0.25">
      <c r="A71" s="104"/>
      <c r="B71" s="81" t="s">
        <v>138</v>
      </c>
      <c r="C71" s="303" t="s">
        <v>1065</v>
      </c>
      <c r="D71" s="304"/>
      <c r="E71" s="304"/>
      <c r="F71" s="304"/>
      <c r="G71" s="304"/>
      <c r="H71" s="304"/>
      <c r="I71" s="304"/>
      <c r="J71" s="304"/>
      <c r="K71" s="304"/>
      <c r="L71" s="304"/>
      <c r="M71" s="305"/>
    </row>
    <row r="72" spans="1:74" x14ac:dyDescent="0.25">
      <c r="A72" s="105" t="s">
        <v>129</v>
      </c>
      <c r="B72" s="74" t="s">
        <v>401</v>
      </c>
      <c r="C72" s="314" t="s">
        <v>402</v>
      </c>
      <c r="D72" s="315"/>
      <c r="E72" s="75" t="s">
        <v>87</v>
      </c>
      <c r="F72" s="75" t="s">
        <v>87</v>
      </c>
      <c r="G72" s="75" t="s">
        <v>87</v>
      </c>
      <c r="H72" s="67">
        <f>SUM(H73:H74)</f>
        <v>0</v>
      </c>
      <c r="I72" s="67">
        <f>SUM(I73:I74)</f>
        <v>0</v>
      </c>
      <c r="J72" s="67">
        <f>SUM(J73:J74)</f>
        <v>0</v>
      </c>
      <c r="K72" s="71" t="s">
        <v>129</v>
      </c>
      <c r="L72" s="67">
        <f>SUM(L73:L74)</f>
        <v>0</v>
      </c>
      <c r="M72" s="106" t="s">
        <v>129</v>
      </c>
      <c r="AG72" s="71" t="s">
        <v>129</v>
      </c>
      <c r="AQ72" s="67">
        <f>SUM(AH73:AH74)</f>
        <v>0</v>
      </c>
      <c r="AR72" s="67">
        <f>SUM(AI73:AI74)</f>
        <v>0</v>
      </c>
      <c r="AS72" s="67">
        <f>SUM(AJ73:AJ74)</f>
        <v>0</v>
      </c>
    </row>
    <row r="73" spans="1:74" x14ac:dyDescent="0.25">
      <c r="A73" s="92" t="s">
        <v>253</v>
      </c>
      <c r="B73" s="69" t="s">
        <v>404</v>
      </c>
      <c r="C73" s="306" t="s">
        <v>405</v>
      </c>
      <c r="D73" s="307"/>
      <c r="E73" s="69" t="s">
        <v>281</v>
      </c>
      <c r="F73" s="77">
        <v>0.78</v>
      </c>
      <c r="G73" s="218">
        <v>0</v>
      </c>
      <c r="H73" s="77">
        <f>F73*AM73</f>
        <v>0</v>
      </c>
      <c r="I73" s="77">
        <f>F73*AN73</f>
        <v>0</v>
      </c>
      <c r="J73" s="77">
        <f>F73*G73</f>
        <v>0</v>
      </c>
      <c r="K73" s="77">
        <v>0</v>
      </c>
      <c r="L73" s="77">
        <f>F73*K73</f>
        <v>0</v>
      </c>
      <c r="M73" s="103" t="s">
        <v>35</v>
      </c>
      <c r="X73" s="77">
        <f>IF(AO73="5",BH73,0)</f>
        <v>0</v>
      </c>
      <c r="Z73" s="77">
        <f>IF(AO73="1",BF73,0)</f>
        <v>0</v>
      </c>
      <c r="AA73" s="77">
        <f>IF(AO73="1",BG73,0)</f>
        <v>0</v>
      </c>
      <c r="AB73" s="77">
        <f>IF(AO73="7",BF73,0)</f>
        <v>0</v>
      </c>
      <c r="AC73" s="77">
        <f>IF(AO73="7",BG73,0)</f>
        <v>0</v>
      </c>
      <c r="AD73" s="77">
        <f>IF(AO73="2",BF73,0)</f>
        <v>0</v>
      </c>
      <c r="AE73" s="77">
        <f>IF(AO73="2",BG73,0)</f>
        <v>0</v>
      </c>
      <c r="AF73" s="77">
        <f>IF(AO73="0",BH73,0)</f>
        <v>0</v>
      </c>
      <c r="AG73" s="71" t="s">
        <v>129</v>
      </c>
      <c r="AH73" s="77">
        <f>IF(AL73=0,J73,0)</f>
        <v>0</v>
      </c>
      <c r="AI73" s="77">
        <f>IF(AL73=15,J73,0)</f>
        <v>0</v>
      </c>
      <c r="AJ73" s="77">
        <f>IF(AL73=21,J73,0)</f>
        <v>0</v>
      </c>
      <c r="AL73" s="77">
        <v>15</v>
      </c>
      <c r="AM73" s="77">
        <f>G73*0</f>
        <v>0</v>
      </c>
      <c r="AN73" s="77">
        <f>G73*(1-0)</f>
        <v>0</v>
      </c>
      <c r="AO73" s="79" t="s">
        <v>158</v>
      </c>
      <c r="AT73" s="77">
        <f>AU73+AV73</f>
        <v>0</v>
      </c>
      <c r="AU73" s="77">
        <f>F73*AM73</f>
        <v>0</v>
      </c>
      <c r="AV73" s="77">
        <f>F73*AN73</f>
        <v>0</v>
      </c>
      <c r="AW73" s="79" t="s">
        <v>406</v>
      </c>
      <c r="AX73" s="79" t="s">
        <v>384</v>
      </c>
      <c r="AY73" s="71" t="s">
        <v>137</v>
      </c>
      <c r="BA73" s="77">
        <f>AU73+AV73</f>
        <v>0</v>
      </c>
      <c r="BB73" s="77">
        <f>G73/(100-BC73)*100</f>
        <v>0</v>
      </c>
      <c r="BC73" s="77">
        <v>0</v>
      </c>
      <c r="BD73" s="77">
        <f>L73</f>
        <v>0</v>
      </c>
      <c r="BF73" s="77">
        <f>F73*AM73</f>
        <v>0</v>
      </c>
      <c r="BG73" s="77">
        <f>F73*AN73</f>
        <v>0</v>
      </c>
      <c r="BH73" s="77">
        <f>F73*G73</f>
        <v>0</v>
      </c>
      <c r="BI73" s="77"/>
      <c r="BJ73" s="77"/>
      <c r="BU73" s="77" t="e">
        <f>#REF!</f>
        <v>#REF!</v>
      </c>
      <c r="BV73" s="70" t="s">
        <v>405</v>
      </c>
    </row>
    <row r="74" spans="1:74" x14ac:dyDescent="0.25">
      <c r="A74" s="92" t="s">
        <v>258</v>
      </c>
      <c r="B74" s="69" t="s">
        <v>408</v>
      </c>
      <c r="C74" s="306" t="s">
        <v>409</v>
      </c>
      <c r="D74" s="307"/>
      <c r="E74" s="69" t="s">
        <v>281</v>
      </c>
      <c r="F74" s="77">
        <v>1.85</v>
      </c>
      <c r="G74" s="218">
        <v>0</v>
      </c>
      <c r="H74" s="77">
        <f>F74*AM74</f>
        <v>0</v>
      </c>
      <c r="I74" s="77">
        <f>F74*AN74</f>
        <v>0</v>
      </c>
      <c r="J74" s="77">
        <f>F74*G74</f>
        <v>0</v>
      </c>
      <c r="K74" s="77">
        <v>0</v>
      </c>
      <c r="L74" s="77">
        <f>F74*K74</f>
        <v>0</v>
      </c>
      <c r="M74" s="103" t="s">
        <v>35</v>
      </c>
      <c r="X74" s="77">
        <f>IF(AO74="5",BH74,0)</f>
        <v>0</v>
      </c>
      <c r="Z74" s="77">
        <f>IF(AO74="1",BF74,0)</f>
        <v>0</v>
      </c>
      <c r="AA74" s="77">
        <f>IF(AO74="1",BG74,0)</f>
        <v>0</v>
      </c>
      <c r="AB74" s="77">
        <f>IF(AO74="7",BF74,0)</f>
        <v>0</v>
      </c>
      <c r="AC74" s="77">
        <f>IF(AO74="7",BG74,0)</f>
        <v>0</v>
      </c>
      <c r="AD74" s="77">
        <f>IF(AO74="2",BF74,0)</f>
        <v>0</v>
      </c>
      <c r="AE74" s="77">
        <f>IF(AO74="2",BG74,0)</f>
        <v>0</v>
      </c>
      <c r="AF74" s="77">
        <f>IF(AO74="0",BH74,0)</f>
        <v>0</v>
      </c>
      <c r="AG74" s="71" t="s">
        <v>129</v>
      </c>
      <c r="AH74" s="77">
        <f>IF(AL74=0,J74,0)</f>
        <v>0</v>
      </c>
      <c r="AI74" s="77">
        <f>IF(AL74=15,J74,0)</f>
        <v>0</v>
      </c>
      <c r="AJ74" s="77">
        <f>IF(AL74=21,J74,0)</f>
        <v>0</v>
      </c>
      <c r="AL74" s="77">
        <v>15</v>
      </c>
      <c r="AM74" s="77">
        <f>G74*0</f>
        <v>0</v>
      </c>
      <c r="AN74" s="77">
        <f>G74*(1-0)</f>
        <v>0</v>
      </c>
      <c r="AO74" s="79" t="s">
        <v>158</v>
      </c>
      <c r="AT74" s="77">
        <f>AU74+AV74</f>
        <v>0</v>
      </c>
      <c r="AU74" s="77">
        <f>F74*AM74</f>
        <v>0</v>
      </c>
      <c r="AV74" s="77">
        <f>F74*AN74</f>
        <v>0</v>
      </c>
      <c r="AW74" s="79" t="s">
        <v>406</v>
      </c>
      <c r="AX74" s="79" t="s">
        <v>384</v>
      </c>
      <c r="AY74" s="71" t="s">
        <v>137</v>
      </c>
      <c r="BA74" s="77">
        <f>AU74+AV74</f>
        <v>0</v>
      </c>
      <c r="BB74" s="77">
        <f>G74/(100-BC74)*100</f>
        <v>0</v>
      </c>
      <c r="BC74" s="77">
        <v>0</v>
      </c>
      <c r="BD74" s="77">
        <f>L74</f>
        <v>0</v>
      </c>
      <c r="BF74" s="77">
        <f>F74*AM74</f>
        <v>0</v>
      </c>
      <c r="BG74" s="77">
        <f>F74*AN74</f>
        <v>0</v>
      </c>
      <c r="BH74" s="77">
        <f>F74*G74</f>
        <v>0</v>
      </c>
      <c r="BI74" s="77"/>
      <c r="BJ74" s="77"/>
      <c r="BU74" s="77" t="e">
        <f>#REF!</f>
        <v>#REF!</v>
      </c>
      <c r="BV74" s="70" t="s">
        <v>409</v>
      </c>
    </row>
    <row r="75" spans="1:74" x14ac:dyDescent="0.25">
      <c r="A75" s="105" t="s">
        <v>129</v>
      </c>
      <c r="B75" s="74" t="s">
        <v>946</v>
      </c>
      <c r="C75" s="314" t="s">
        <v>947</v>
      </c>
      <c r="D75" s="315"/>
      <c r="E75" s="75" t="s">
        <v>87</v>
      </c>
      <c r="F75" s="75" t="s">
        <v>87</v>
      </c>
      <c r="G75" s="75" t="s">
        <v>87</v>
      </c>
      <c r="H75" s="67">
        <f>SUM(H76:H76)</f>
        <v>0</v>
      </c>
      <c r="I75" s="67">
        <f>SUM(I76:I76)</f>
        <v>0</v>
      </c>
      <c r="J75" s="67">
        <f>SUM(J76:J76)</f>
        <v>0</v>
      </c>
      <c r="K75" s="71" t="s">
        <v>129</v>
      </c>
      <c r="L75" s="67">
        <f>SUM(L76:L76)</f>
        <v>0</v>
      </c>
      <c r="M75" s="106" t="s">
        <v>129</v>
      </c>
      <c r="AG75" s="71" t="s">
        <v>129</v>
      </c>
      <c r="AQ75" s="67">
        <f>SUM(AH76:AH76)</f>
        <v>0</v>
      </c>
      <c r="AR75" s="67">
        <f>SUM(AI76:AI76)</f>
        <v>0</v>
      </c>
      <c r="AS75" s="67">
        <f>SUM(AJ76:AJ76)</f>
        <v>0</v>
      </c>
    </row>
    <row r="76" spans="1:74" x14ac:dyDescent="0.25">
      <c r="A76" s="92" t="s">
        <v>263</v>
      </c>
      <c r="B76" s="69" t="s">
        <v>948</v>
      </c>
      <c r="C76" s="306" t="s">
        <v>1066</v>
      </c>
      <c r="D76" s="307"/>
      <c r="E76" s="69" t="s">
        <v>950</v>
      </c>
      <c r="F76" s="77">
        <v>1</v>
      </c>
      <c r="G76" s="218">
        <v>0</v>
      </c>
      <c r="H76" s="77">
        <f>F76*AM76</f>
        <v>0</v>
      </c>
      <c r="I76" s="77">
        <f>F76*AN76</f>
        <v>0</v>
      </c>
      <c r="J76" s="77">
        <f>F76*G76</f>
        <v>0</v>
      </c>
      <c r="K76" s="77">
        <v>0</v>
      </c>
      <c r="L76" s="77">
        <f>F76*K76</f>
        <v>0</v>
      </c>
      <c r="M76" s="103" t="s">
        <v>35</v>
      </c>
      <c r="X76" s="77">
        <f>IF(AO76="5",BH76,0)</f>
        <v>0</v>
      </c>
      <c r="Z76" s="77">
        <f>IF(AO76="1",BF76,0)</f>
        <v>0</v>
      </c>
      <c r="AA76" s="77">
        <f>IF(AO76="1",BG76,0)</f>
        <v>0</v>
      </c>
      <c r="AB76" s="77">
        <f>IF(AO76="7",BF76,0)</f>
        <v>0</v>
      </c>
      <c r="AC76" s="77">
        <f>IF(AO76="7",BG76,0)</f>
        <v>0</v>
      </c>
      <c r="AD76" s="77">
        <f>IF(AO76="2",BF76,0)</f>
        <v>0</v>
      </c>
      <c r="AE76" s="77">
        <f>IF(AO76="2",BG76,0)</f>
        <v>0</v>
      </c>
      <c r="AF76" s="77">
        <f>IF(AO76="0",BH76,0)</f>
        <v>0</v>
      </c>
      <c r="AG76" s="71" t="s">
        <v>129</v>
      </c>
      <c r="AH76" s="77">
        <f>IF(AL76=0,J76,0)</f>
        <v>0</v>
      </c>
      <c r="AI76" s="77">
        <f>IF(AL76=15,J76,0)</f>
        <v>0</v>
      </c>
      <c r="AJ76" s="77">
        <f>IF(AL76=21,J76,0)</f>
        <v>0</v>
      </c>
      <c r="AL76" s="77">
        <v>15</v>
      </c>
      <c r="AM76" s="77">
        <f>G76*0.838926174</f>
        <v>0</v>
      </c>
      <c r="AN76" s="77">
        <f>G76*(1-0.838926174)</f>
        <v>0</v>
      </c>
      <c r="AO76" s="79" t="s">
        <v>142</v>
      </c>
      <c r="AT76" s="77">
        <f>AU76+AV76</f>
        <v>0</v>
      </c>
      <c r="AU76" s="77">
        <f>F76*AM76</f>
        <v>0</v>
      </c>
      <c r="AV76" s="77">
        <f>F76*AN76</f>
        <v>0</v>
      </c>
      <c r="AW76" s="79" t="s">
        <v>951</v>
      </c>
      <c r="AX76" s="79" t="s">
        <v>384</v>
      </c>
      <c r="AY76" s="71" t="s">
        <v>137</v>
      </c>
      <c r="BA76" s="77">
        <f>AU76+AV76</f>
        <v>0</v>
      </c>
      <c r="BB76" s="77">
        <f>G76/(100-BC76)*100</f>
        <v>0</v>
      </c>
      <c r="BC76" s="77">
        <v>0</v>
      </c>
      <c r="BD76" s="77">
        <f>L76</f>
        <v>0</v>
      </c>
      <c r="BF76" s="77">
        <f>F76*AM76</f>
        <v>0</v>
      </c>
      <c r="BG76" s="77">
        <f>F76*AN76</f>
        <v>0</v>
      </c>
      <c r="BH76" s="77">
        <f>F76*G76</f>
        <v>0</v>
      </c>
      <c r="BI76" s="77"/>
      <c r="BJ76" s="77"/>
      <c r="BU76" s="77" t="e">
        <f>#REF!</f>
        <v>#REF!</v>
      </c>
      <c r="BV76" s="70" t="s">
        <v>1066</v>
      </c>
    </row>
    <row r="77" spans="1:74" ht="40.5" customHeight="1" thickBot="1" x14ac:dyDescent="0.3">
      <c r="A77" s="107"/>
      <c r="B77" s="108" t="s">
        <v>138</v>
      </c>
      <c r="C77" s="308" t="s">
        <v>1067</v>
      </c>
      <c r="D77" s="309"/>
      <c r="E77" s="309"/>
      <c r="F77" s="309"/>
      <c r="G77" s="309"/>
      <c r="H77" s="309"/>
      <c r="I77" s="309"/>
      <c r="J77" s="309"/>
      <c r="K77" s="309"/>
      <c r="L77" s="309"/>
      <c r="M77" s="310"/>
    </row>
    <row r="78" spans="1:74" x14ac:dyDescent="0.25">
      <c r="H78" s="311" t="s">
        <v>475</v>
      </c>
      <c r="I78" s="311"/>
      <c r="J78" s="84">
        <f>ROUND(J12+J17+J26+J35+J42+J45+J48+J51+J60+J63+J66+J72+J75,1)</f>
        <v>0</v>
      </c>
    </row>
    <row r="79" spans="1:74" x14ac:dyDescent="0.25">
      <c r="A79" s="85" t="s">
        <v>138</v>
      </c>
    </row>
    <row r="80" spans="1:74" ht="13.5" customHeight="1" x14ac:dyDescent="0.25">
      <c r="A80" s="306" t="s">
        <v>953</v>
      </c>
      <c r="B80" s="307"/>
      <c r="C80" s="307"/>
      <c r="D80" s="307"/>
      <c r="E80" s="307"/>
      <c r="F80" s="307"/>
      <c r="G80" s="307"/>
      <c r="H80" s="307"/>
      <c r="I80" s="307"/>
      <c r="J80" s="307"/>
      <c r="K80" s="307"/>
      <c r="L80" s="307"/>
      <c r="M80" s="307"/>
    </row>
  </sheetData>
  <sheetProtection algorithmName="SHA-512" hashValue="oSmwuvTEmRb6S3FjgaRGTUu3GB3agh6N+Nzb79EG363TtfGPhROqazNMcpbUlEiJsDE7V5oamwNTl8YD78HUuA==" saltValue="WfLC5yHtSUQlF/0WTCGRBA==" spinCount="100000" sheet="1" formatCells="0" formatColumns="0" formatRows="0" insertColumns="0" insertRows="0" insertHyperlinks="0"/>
  <mergeCells count="97">
    <mergeCell ref="C77:M77"/>
    <mergeCell ref="H78:I78"/>
    <mergeCell ref="A80:M80"/>
    <mergeCell ref="C71:M71"/>
    <mergeCell ref="C72:D72"/>
    <mergeCell ref="C73:D73"/>
    <mergeCell ref="C74:D74"/>
    <mergeCell ref="C75:D75"/>
    <mergeCell ref="C76:D76"/>
    <mergeCell ref="C70:D70"/>
    <mergeCell ref="C59:M59"/>
    <mergeCell ref="C60:D60"/>
    <mergeCell ref="C61:D61"/>
    <mergeCell ref="C62:M62"/>
    <mergeCell ref="C63:D63"/>
    <mergeCell ref="C64:D64"/>
    <mergeCell ref="C65:M65"/>
    <mergeCell ref="C66:D66"/>
    <mergeCell ref="C67:D67"/>
    <mergeCell ref="C68:D68"/>
    <mergeCell ref="C69:M69"/>
    <mergeCell ref="C58:D58"/>
    <mergeCell ref="C47:M47"/>
    <mergeCell ref="C48:D48"/>
    <mergeCell ref="C49:D49"/>
    <mergeCell ref="C50:M50"/>
    <mergeCell ref="C51:D51"/>
    <mergeCell ref="C52:D52"/>
    <mergeCell ref="C53:M53"/>
    <mergeCell ref="C54:D54"/>
    <mergeCell ref="C55:M55"/>
    <mergeCell ref="C56:D56"/>
    <mergeCell ref="C57:M57"/>
    <mergeCell ref="C46:D46"/>
    <mergeCell ref="C35:D35"/>
    <mergeCell ref="C36:D36"/>
    <mergeCell ref="C37:M37"/>
    <mergeCell ref="C38:D38"/>
    <mergeCell ref="C39:M39"/>
    <mergeCell ref="C40:D40"/>
    <mergeCell ref="C41:M41"/>
    <mergeCell ref="C42:D42"/>
    <mergeCell ref="C43:D43"/>
    <mergeCell ref="C44:M44"/>
    <mergeCell ref="C45:D45"/>
    <mergeCell ref="C34:M34"/>
    <mergeCell ref="C23:M23"/>
    <mergeCell ref="C24:D24"/>
    <mergeCell ref="C25:M25"/>
    <mergeCell ref="C26:D26"/>
    <mergeCell ref="C27:D27"/>
    <mergeCell ref="C28:M28"/>
    <mergeCell ref="C29:D29"/>
    <mergeCell ref="C30:M30"/>
    <mergeCell ref="C31:D31"/>
    <mergeCell ref="C32:M32"/>
    <mergeCell ref="C33:D33"/>
    <mergeCell ref="C22:D22"/>
    <mergeCell ref="C11:D11"/>
    <mergeCell ref="C12:D12"/>
    <mergeCell ref="C13:D13"/>
    <mergeCell ref="C14:M14"/>
    <mergeCell ref="C15:D15"/>
    <mergeCell ref="C16:M16"/>
    <mergeCell ref="C17:D17"/>
    <mergeCell ref="C18:D18"/>
    <mergeCell ref="C19:M19"/>
    <mergeCell ref="C20:D20"/>
    <mergeCell ref="C21:M21"/>
    <mergeCell ref="A1:M1"/>
    <mergeCell ref="A2:B3"/>
    <mergeCell ref="K10:L10"/>
    <mergeCell ref="A4:B5"/>
    <mergeCell ref="C4:D5"/>
    <mergeCell ref="A6:B7"/>
    <mergeCell ref="C6:D7"/>
    <mergeCell ref="A8:B9"/>
    <mergeCell ref="C8:D9"/>
    <mergeCell ref="C10:D10"/>
    <mergeCell ref="H10:J10"/>
    <mergeCell ref="C2:D3"/>
    <mergeCell ref="E2:F3"/>
    <mergeCell ref="G2:G3"/>
    <mergeCell ref="H2:H3"/>
    <mergeCell ref="I2:M3"/>
    <mergeCell ref="I8:M9"/>
    <mergeCell ref="E8:F9"/>
    <mergeCell ref="G8:G9"/>
    <mergeCell ref="H8:H9"/>
    <mergeCell ref="I4:M5"/>
    <mergeCell ref="E6:F7"/>
    <mergeCell ref="G6:G7"/>
    <mergeCell ref="H6:H7"/>
    <mergeCell ref="I6:M7"/>
    <mergeCell ref="E4:F5"/>
    <mergeCell ref="G4:G5"/>
    <mergeCell ref="H4:H5"/>
  </mergeCells>
  <pageMargins left="0.98425196850393704" right="0.39370078740157483" top="0.59055118110236215" bottom="0.59055118110236215" header="0.39370078740157483" footer="0.39370078740157483"/>
  <pageSetup paperSize="9" scale="56" fitToHeight="0" orientation="landscape" r:id="rId1"/>
  <headerFooter>
    <oddFooter>&amp;L&amp;A&amp;Rstran &amp;N / strana &amp;P</oddFooter>
  </headerFooter>
  <rowBreaks count="2" manualBreakCount="2">
    <brk id="25" max="12" man="1"/>
    <brk id="53" max="12" man="1"/>
  </rowBreaks>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ABDC3-CF25-4043-9D3A-01A86FB6DE63}">
  <sheetPr codeName="List16">
    <pageSetUpPr fitToPage="1"/>
  </sheetPr>
  <dimension ref="A1:BV25"/>
  <sheetViews>
    <sheetView view="pageBreakPreview" zoomScale="55" zoomScaleNormal="70" zoomScaleSheetLayoutView="55" workbookViewId="0">
      <pane ySplit="11" topLeftCell="A12" activePane="bottomLeft" state="frozen"/>
      <selection activeCell="D44" sqref="D44"/>
      <selection pane="bottomLeft" activeCell="D44" sqref="D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64.285156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27" t="s">
        <v>84</v>
      </c>
      <c r="B2" s="307"/>
      <c r="C2" s="362" t="s">
        <v>85</v>
      </c>
      <c r="D2" s="345"/>
      <c r="E2" s="307" t="s">
        <v>86</v>
      </c>
      <c r="F2" s="307"/>
      <c r="G2" s="363" t="s">
        <v>1230</v>
      </c>
      <c r="H2" s="333" t="s">
        <v>1211</v>
      </c>
      <c r="I2" s="329" t="s">
        <v>1394</v>
      </c>
      <c r="J2" s="329"/>
      <c r="K2" s="329"/>
      <c r="L2" s="329"/>
      <c r="M2" s="335"/>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1212</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1215</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87" t="s">
        <v>98</v>
      </c>
      <c r="B10" s="88" t="s">
        <v>99</v>
      </c>
      <c r="C10" s="311" t="s">
        <v>100</v>
      </c>
      <c r="D10" s="358"/>
      <c r="E10" s="88" t="s">
        <v>101</v>
      </c>
      <c r="F10" s="89" t="s">
        <v>102</v>
      </c>
      <c r="G10" s="90" t="s">
        <v>103</v>
      </c>
      <c r="H10" s="359" t="s">
        <v>104</v>
      </c>
      <c r="I10" s="360"/>
      <c r="J10" s="361"/>
      <c r="K10" s="360" t="s">
        <v>105</v>
      </c>
      <c r="L10" s="360"/>
      <c r="M10" s="91" t="s">
        <v>106</v>
      </c>
      <c r="BI10" s="71" t="s">
        <v>107</v>
      </c>
      <c r="BJ10" s="72" t="s">
        <v>108</v>
      </c>
      <c r="BU10" s="72" t="s">
        <v>109</v>
      </c>
    </row>
    <row r="11" spans="1:74" ht="15.75" thickBot="1" x14ac:dyDescent="0.3">
      <c r="A11" s="95" t="s">
        <v>87</v>
      </c>
      <c r="B11" s="86" t="s">
        <v>87</v>
      </c>
      <c r="C11" s="311" t="s">
        <v>110</v>
      </c>
      <c r="D11" s="358"/>
      <c r="E11" s="86" t="s">
        <v>87</v>
      </c>
      <c r="F11" s="86" t="s">
        <v>87</v>
      </c>
      <c r="G11" s="90" t="s">
        <v>111</v>
      </c>
      <c r="H11" s="91" t="s">
        <v>112</v>
      </c>
      <c r="I11" s="89" t="s">
        <v>113</v>
      </c>
      <c r="J11" s="96" t="s">
        <v>114</v>
      </c>
      <c r="K11" s="89" t="s">
        <v>115</v>
      </c>
      <c r="L11" s="90" t="s">
        <v>114</v>
      </c>
      <c r="M11" s="9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SUM(H13:H13)</f>
        <v>0</v>
      </c>
      <c r="I12" s="100">
        <f>SUM(I13:I13)</f>
        <v>0</v>
      </c>
      <c r="J12" s="100">
        <f>SUM(J13:J13)</f>
        <v>0</v>
      </c>
      <c r="K12" s="101" t="s">
        <v>129</v>
      </c>
      <c r="L12" s="100">
        <f>SUM(L13:L13)</f>
        <v>74.283069900000001</v>
      </c>
      <c r="M12" s="102" t="s">
        <v>129</v>
      </c>
      <c r="AG12" s="71" t="s">
        <v>129</v>
      </c>
      <c r="AQ12" s="67">
        <f>SUM(AH13:AH13)</f>
        <v>0</v>
      </c>
      <c r="AR12" s="67">
        <f>SUM(AI13:AI13)</f>
        <v>0</v>
      </c>
      <c r="AS12" s="67">
        <f>SUM(AJ13:AJ13)</f>
        <v>0</v>
      </c>
    </row>
    <row r="13" spans="1:74" x14ac:dyDescent="0.25">
      <c r="A13" s="92" t="s">
        <v>132</v>
      </c>
      <c r="B13" s="69" t="s">
        <v>1217</v>
      </c>
      <c r="C13" s="306" t="s">
        <v>1218</v>
      </c>
      <c r="D13" s="307"/>
      <c r="E13" s="69" t="s">
        <v>166</v>
      </c>
      <c r="F13" s="77">
        <v>82.49</v>
      </c>
      <c r="G13" s="218">
        <v>0</v>
      </c>
      <c r="H13" s="77">
        <f>F13*AM13</f>
        <v>0</v>
      </c>
      <c r="I13" s="77">
        <f>F13*AN13</f>
        <v>0</v>
      </c>
      <c r="J13" s="77">
        <f>F13*G13</f>
        <v>0</v>
      </c>
      <c r="K13" s="77">
        <v>0.90051000000000003</v>
      </c>
      <c r="L13" s="77">
        <f>F13*K13</f>
        <v>74.283069900000001</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G13*0.017120958</f>
        <v>0</v>
      </c>
      <c r="AN13" s="77">
        <f>G13*(1-0.017120958)</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74.283069900000001</v>
      </c>
      <c r="BF13" s="77">
        <f>F13*AM13</f>
        <v>0</v>
      </c>
      <c r="BG13" s="77">
        <f>F13*AN13</f>
        <v>0</v>
      </c>
      <c r="BH13" s="77">
        <f>F13*G13</f>
        <v>0</v>
      </c>
      <c r="BI13" s="77"/>
      <c r="BJ13" s="77">
        <v>11</v>
      </c>
      <c r="BU13" s="77" t="e">
        <f>#REF!</f>
        <v>#REF!</v>
      </c>
      <c r="BV13" s="70" t="s">
        <v>1218</v>
      </c>
    </row>
    <row r="14" spans="1:74" ht="148.5" customHeight="1" x14ac:dyDescent="0.25">
      <c r="A14" s="104"/>
      <c r="B14" s="81" t="s">
        <v>138</v>
      </c>
      <c r="C14" s="303" t="s">
        <v>1219</v>
      </c>
      <c r="D14" s="304"/>
      <c r="E14" s="304"/>
      <c r="F14" s="304"/>
      <c r="G14" s="304"/>
      <c r="H14" s="304"/>
      <c r="I14" s="304"/>
      <c r="J14" s="304"/>
      <c r="K14" s="304"/>
      <c r="L14" s="304"/>
      <c r="M14" s="305"/>
    </row>
    <row r="15" spans="1:74" x14ac:dyDescent="0.25">
      <c r="A15" s="105" t="s">
        <v>129</v>
      </c>
      <c r="B15" s="74" t="s">
        <v>403</v>
      </c>
      <c r="C15" s="314" t="s">
        <v>778</v>
      </c>
      <c r="D15" s="315"/>
      <c r="E15" s="75" t="s">
        <v>87</v>
      </c>
      <c r="F15" s="75" t="s">
        <v>87</v>
      </c>
      <c r="G15" s="75" t="s">
        <v>87</v>
      </c>
      <c r="H15" s="67">
        <f>SUM(H16:H18)</f>
        <v>0</v>
      </c>
      <c r="I15" s="67">
        <f>SUM(I16:I18)</f>
        <v>0</v>
      </c>
      <c r="J15" s="67">
        <f>SUM(J16:J18)</f>
        <v>0</v>
      </c>
      <c r="K15" s="71" t="s">
        <v>129</v>
      </c>
      <c r="L15" s="67">
        <f>SUM(L16:L18)</f>
        <v>86.829308999999995</v>
      </c>
      <c r="M15" s="106" t="s">
        <v>129</v>
      </c>
      <c r="AG15" s="71" t="s">
        <v>129</v>
      </c>
      <c r="AQ15" s="67">
        <f>SUM(AH16:AH18)</f>
        <v>0</v>
      </c>
      <c r="AR15" s="67">
        <f>SUM(AI16:AI18)</f>
        <v>0</v>
      </c>
      <c r="AS15" s="67">
        <f>SUM(AJ16:AJ18)</f>
        <v>0</v>
      </c>
    </row>
    <row r="16" spans="1:74" ht="25.5" x14ac:dyDescent="0.25">
      <c r="A16" s="92" t="s">
        <v>142</v>
      </c>
      <c r="B16" s="69" t="s">
        <v>1220</v>
      </c>
      <c r="C16" s="306" t="s">
        <v>1221</v>
      </c>
      <c r="D16" s="307"/>
      <c r="E16" s="69" t="s">
        <v>166</v>
      </c>
      <c r="F16" s="77">
        <v>10.210000000000001</v>
      </c>
      <c r="G16" s="218">
        <v>0</v>
      </c>
      <c r="H16" s="77">
        <f>F16*AM16</f>
        <v>0</v>
      </c>
      <c r="I16" s="77">
        <f>F16*AN16</f>
        <v>0</v>
      </c>
      <c r="J16" s="77">
        <f>F16*G16</f>
        <v>0</v>
      </c>
      <c r="K16" s="77">
        <v>0.93667</v>
      </c>
      <c r="L16" s="77">
        <f>F16*K16</f>
        <v>9.5634007000000008</v>
      </c>
      <c r="M16" s="103" t="s">
        <v>35</v>
      </c>
      <c r="X16" s="77">
        <f>IF(AO16="5",BH16,0)</f>
        <v>0</v>
      </c>
      <c r="Z16" s="77">
        <f>IF(AO16="1",BF16,0)</f>
        <v>0</v>
      </c>
      <c r="AA16" s="77">
        <f>IF(AO16="1",BG16,0)</f>
        <v>0</v>
      </c>
      <c r="AB16" s="77">
        <f>IF(AO16="7",BF16,0)</f>
        <v>0</v>
      </c>
      <c r="AC16" s="77">
        <f>IF(AO16="7",BG16,0)</f>
        <v>0</v>
      </c>
      <c r="AD16" s="77">
        <f>IF(AO16="2",BF16,0)</f>
        <v>0</v>
      </c>
      <c r="AE16" s="77">
        <f>IF(AO16="2",BG16,0)</f>
        <v>0</v>
      </c>
      <c r="AF16" s="77">
        <f>IF(AO16="0",BH16,0)</f>
        <v>0</v>
      </c>
      <c r="AG16" s="71" t="s">
        <v>129</v>
      </c>
      <c r="AH16" s="77">
        <f>IF(AL16=0,J16,0)</f>
        <v>0</v>
      </c>
      <c r="AI16" s="77">
        <f>IF(AL16=15,J16,0)</f>
        <v>0</v>
      </c>
      <c r="AJ16" s="77">
        <f>IF(AL16=21,J16,0)</f>
        <v>0</v>
      </c>
      <c r="AL16" s="77">
        <v>15</v>
      </c>
      <c r="AM16" s="77">
        <f>G16*0.753163775</f>
        <v>0</v>
      </c>
      <c r="AN16" s="77">
        <f>G16*(1-0.753163775)</f>
        <v>0</v>
      </c>
      <c r="AO16" s="79" t="s">
        <v>132</v>
      </c>
      <c r="AT16" s="77">
        <f>AU16+AV16</f>
        <v>0</v>
      </c>
      <c r="AU16" s="77">
        <f>F16*AM16</f>
        <v>0</v>
      </c>
      <c r="AV16" s="77">
        <f>F16*AN16</f>
        <v>0</v>
      </c>
      <c r="AW16" s="79" t="s">
        <v>781</v>
      </c>
      <c r="AX16" s="79" t="s">
        <v>302</v>
      </c>
      <c r="AY16" s="71" t="s">
        <v>137</v>
      </c>
      <c r="BA16" s="77">
        <f>AU16+AV16</f>
        <v>0</v>
      </c>
      <c r="BB16" s="77">
        <f>G16/(100-BC16)*100</f>
        <v>0</v>
      </c>
      <c r="BC16" s="77">
        <v>0</v>
      </c>
      <c r="BD16" s="77">
        <f>L16</f>
        <v>9.5634007000000008</v>
      </c>
      <c r="BF16" s="77">
        <f>F16*AM16</f>
        <v>0</v>
      </c>
      <c r="BG16" s="77">
        <f>F16*AN16</f>
        <v>0</v>
      </c>
      <c r="BH16" s="77">
        <f>F16*G16</f>
        <v>0</v>
      </c>
      <c r="BI16" s="77"/>
      <c r="BJ16" s="77">
        <v>57</v>
      </c>
      <c r="BU16" s="77" t="e">
        <f>#REF!</f>
        <v>#REF!</v>
      </c>
      <c r="BV16" s="70" t="s">
        <v>1221</v>
      </c>
    </row>
    <row r="17" spans="1:74" ht="108" customHeight="1" x14ac:dyDescent="0.25">
      <c r="A17" s="104"/>
      <c r="B17" s="81" t="s">
        <v>138</v>
      </c>
      <c r="C17" s="303" t="s">
        <v>1222</v>
      </c>
      <c r="D17" s="304"/>
      <c r="E17" s="304"/>
      <c r="F17" s="304"/>
      <c r="G17" s="304"/>
      <c r="H17" s="304"/>
      <c r="I17" s="304"/>
      <c r="J17" s="304"/>
      <c r="K17" s="304"/>
      <c r="L17" s="304"/>
      <c r="M17" s="305"/>
    </row>
    <row r="18" spans="1:74" x14ac:dyDescent="0.25">
      <c r="A18" s="92" t="s">
        <v>149</v>
      </c>
      <c r="B18" s="69" t="s">
        <v>1223</v>
      </c>
      <c r="C18" s="306" t="s">
        <v>1224</v>
      </c>
      <c r="D18" s="307"/>
      <c r="E18" s="69" t="s">
        <v>166</v>
      </c>
      <c r="F18" s="77">
        <v>82.49</v>
      </c>
      <c r="G18" s="218">
        <v>0</v>
      </c>
      <c r="H18" s="77">
        <f>F18*AM18</f>
        <v>0</v>
      </c>
      <c r="I18" s="77">
        <f>F18*AN18</f>
        <v>0</v>
      </c>
      <c r="J18" s="77">
        <f>F18*G18</f>
        <v>0</v>
      </c>
      <c r="K18" s="77">
        <v>0.93667</v>
      </c>
      <c r="L18" s="77">
        <f>F18*K18</f>
        <v>77.265908299999992</v>
      </c>
      <c r="M18" s="103" t="s">
        <v>35</v>
      </c>
      <c r="X18" s="77">
        <f>IF(AO18="5",BH18,0)</f>
        <v>0</v>
      </c>
      <c r="Z18" s="77">
        <f>IF(AO18="1",BF18,0)</f>
        <v>0</v>
      </c>
      <c r="AA18" s="77">
        <f>IF(AO18="1",BG18,0)</f>
        <v>0</v>
      </c>
      <c r="AB18" s="77">
        <f>IF(AO18="7",BF18,0)</f>
        <v>0</v>
      </c>
      <c r="AC18" s="77">
        <f>IF(AO18="7",BG18,0)</f>
        <v>0</v>
      </c>
      <c r="AD18" s="77">
        <f>IF(AO18="2",BF18,0)</f>
        <v>0</v>
      </c>
      <c r="AE18" s="77">
        <f>IF(AO18="2",BG18,0)</f>
        <v>0</v>
      </c>
      <c r="AF18" s="77">
        <f>IF(AO18="0",BH18,0)</f>
        <v>0</v>
      </c>
      <c r="AG18" s="71" t="s">
        <v>129</v>
      </c>
      <c r="AH18" s="77">
        <f>IF(AL18=0,J18,0)</f>
        <v>0</v>
      </c>
      <c r="AI18" s="77">
        <f>IF(AL18=15,J18,0)</f>
        <v>0</v>
      </c>
      <c r="AJ18" s="77">
        <f>IF(AL18=21,J18,0)</f>
        <v>0</v>
      </c>
      <c r="AL18" s="77">
        <v>15</v>
      </c>
      <c r="AM18" s="77">
        <f>G18*0.753163851</f>
        <v>0</v>
      </c>
      <c r="AN18" s="77">
        <f>G18*(1-0.753163851)</f>
        <v>0</v>
      </c>
      <c r="AO18" s="79" t="s">
        <v>132</v>
      </c>
      <c r="AT18" s="77">
        <f>AU18+AV18</f>
        <v>0</v>
      </c>
      <c r="AU18" s="77">
        <f>F18*AM18</f>
        <v>0</v>
      </c>
      <c r="AV18" s="77">
        <f>F18*AN18</f>
        <v>0</v>
      </c>
      <c r="AW18" s="79" t="s">
        <v>781</v>
      </c>
      <c r="AX18" s="79" t="s">
        <v>302</v>
      </c>
      <c r="AY18" s="71" t="s">
        <v>137</v>
      </c>
      <c r="BA18" s="77">
        <f>AU18+AV18</f>
        <v>0</v>
      </c>
      <c r="BB18" s="77">
        <f>G18/(100-BC18)*100</f>
        <v>0</v>
      </c>
      <c r="BC18" s="77">
        <v>0</v>
      </c>
      <c r="BD18" s="77">
        <f>L18</f>
        <v>77.265908299999992</v>
      </c>
      <c r="BF18" s="77">
        <f>F18*AM18</f>
        <v>0</v>
      </c>
      <c r="BG18" s="77">
        <f>F18*AN18</f>
        <v>0</v>
      </c>
      <c r="BH18" s="77">
        <f>F18*G18</f>
        <v>0</v>
      </c>
      <c r="BI18" s="77"/>
      <c r="BJ18" s="77">
        <v>57</v>
      </c>
      <c r="BU18" s="77" t="e">
        <f>#REF!</f>
        <v>#REF!</v>
      </c>
      <c r="BV18" s="70" t="s">
        <v>1224</v>
      </c>
    </row>
    <row r="19" spans="1:74" ht="108" customHeight="1" x14ac:dyDescent="0.25">
      <c r="A19" s="104"/>
      <c r="B19" s="81" t="s">
        <v>138</v>
      </c>
      <c r="C19" s="303" t="s">
        <v>1225</v>
      </c>
      <c r="D19" s="304"/>
      <c r="E19" s="304"/>
      <c r="F19" s="304"/>
      <c r="G19" s="304"/>
      <c r="H19" s="304"/>
      <c r="I19" s="304"/>
      <c r="J19" s="304"/>
      <c r="K19" s="304"/>
      <c r="L19" s="304"/>
      <c r="M19" s="305"/>
    </row>
    <row r="20" spans="1:74" x14ac:dyDescent="0.25">
      <c r="A20" s="105" t="s">
        <v>129</v>
      </c>
      <c r="B20" s="74" t="s">
        <v>386</v>
      </c>
      <c r="C20" s="314" t="s">
        <v>387</v>
      </c>
      <c r="D20" s="315"/>
      <c r="E20" s="75" t="s">
        <v>87</v>
      </c>
      <c r="F20" s="75" t="s">
        <v>87</v>
      </c>
      <c r="G20" s="75" t="s">
        <v>87</v>
      </c>
      <c r="H20" s="67">
        <f>SUM(H21:H21)</f>
        <v>0</v>
      </c>
      <c r="I20" s="67">
        <f>SUM(I21:I21)</f>
        <v>0</v>
      </c>
      <c r="J20" s="67">
        <f>SUM(J21:J21)</f>
        <v>0</v>
      </c>
      <c r="K20" s="71" t="s">
        <v>129</v>
      </c>
      <c r="L20" s="67">
        <f>SUM(L21:L21)</f>
        <v>0</v>
      </c>
      <c r="M20" s="106" t="s">
        <v>129</v>
      </c>
      <c r="AG20" s="71" t="s">
        <v>129</v>
      </c>
      <c r="AQ20" s="67">
        <f>SUM(AH21:AH21)</f>
        <v>0</v>
      </c>
      <c r="AR20" s="67">
        <f>SUM(AI21:AI21)</f>
        <v>0</v>
      </c>
      <c r="AS20" s="67">
        <f>SUM(AJ21:AJ21)</f>
        <v>0</v>
      </c>
    </row>
    <row r="21" spans="1:74" x14ac:dyDescent="0.25">
      <c r="A21" s="92" t="s">
        <v>153</v>
      </c>
      <c r="B21" s="69" t="s">
        <v>397</v>
      </c>
      <c r="C21" s="306" t="s">
        <v>398</v>
      </c>
      <c r="D21" s="307"/>
      <c r="E21" s="69" t="s">
        <v>281</v>
      </c>
      <c r="F21" s="77">
        <v>371.4</v>
      </c>
      <c r="G21" s="218">
        <v>0</v>
      </c>
      <c r="H21" s="77">
        <f>F21*AM21</f>
        <v>0</v>
      </c>
      <c r="I21" s="77">
        <f>F21*AN21</f>
        <v>0</v>
      </c>
      <c r="J21" s="77">
        <f>F21*G21</f>
        <v>0</v>
      </c>
      <c r="K21" s="77">
        <v>0</v>
      </c>
      <c r="L21" s="77">
        <f>F21*K21</f>
        <v>0</v>
      </c>
      <c r="M21" s="103" t="s">
        <v>35</v>
      </c>
      <c r="X21" s="77">
        <f>IF(AO21="5",BH21,0)</f>
        <v>0</v>
      </c>
      <c r="Z21" s="77">
        <f>IF(AO21="1",BF21,0)</f>
        <v>0</v>
      </c>
      <c r="AA21" s="77">
        <f>IF(AO21="1",BG21,0)</f>
        <v>0</v>
      </c>
      <c r="AB21" s="77">
        <f>IF(AO21="7",BF21,0)</f>
        <v>0</v>
      </c>
      <c r="AC21" s="77">
        <f>IF(AO21="7",BG21,0)</f>
        <v>0</v>
      </c>
      <c r="AD21" s="77">
        <f>IF(AO21="2",BF21,0)</f>
        <v>0</v>
      </c>
      <c r="AE21" s="77">
        <f>IF(AO21="2",BG21,0)</f>
        <v>0</v>
      </c>
      <c r="AF21" s="77">
        <f>IF(AO21="0",BH21,0)</f>
        <v>0</v>
      </c>
      <c r="AG21" s="71" t="s">
        <v>129</v>
      </c>
      <c r="AH21" s="77">
        <f>IF(AL21=0,J21,0)</f>
        <v>0</v>
      </c>
      <c r="AI21" s="77">
        <f>IF(AL21=15,J21,0)</f>
        <v>0</v>
      </c>
      <c r="AJ21" s="77">
        <f>IF(AL21=21,J21,0)</f>
        <v>0</v>
      </c>
      <c r="AL21" s="77">
        <v>15</v>
      </c>
      <c r="AM21" s="77">
        <f>G21*0</f>
        <v>0</v>
      </c>
      <c r="AN21" s="77">
        <f>G21*(1-0)</f>
        <v>0</v>
      </c>
      <c r="AO21" s="79" t="s">
        <v>158</v>
      </c>
      <c r="AT21" s="77">
        <f>AU21+AV21</f>
        <v>0</v>
      </c>
      <c r="AU21" s="77">
        <f>F21*AM21</f>
        <v>0</v>
      </c>
      <c r="AV21" s="77">
        <f>F21*AN21</f>
        <v>0</v>
      </c>
      <c r="AW21" s="79" t="s">
        <v>391</v>
      </c>
      <c r="AX21" s="79" t="s">
        <v>384</v>
      </c>
      <c r="AY21" s="71" t="s">
        <v>137</v>
      </c>
      <c r="BA21" s="77">
        <f>AU21+AV21</f>
        <v>0</v>
      </c>
      <c r="BB21" s="77">
        <f>G21/(100-BC21)*100</f>
        <v>0</v>
      </c>
      <c r="BC21" s="77">
        <v>0</v>
      </c>
      <c r="BD21" s="77">
        <f>L21</f>
        <v>0</v>
      </c>
      <c r="BF21" s="77">
        <f>F21*AM21</f>
        <v>0</v>
      </c>
      <c r="BG21" s="77">
        <f>F21*AN21</f>
        <v>0</v>
      </c>
      <c r="BH21" s="77">
        <f>F21*G21</f>
        <v>0</v>
      </c>
      <c r="BI21" s="77"/>
      <c r="BJ21" s="77"/>
      <c r="BU21" s="77" t="e">
        <f>#REF!</f>
        <v>#REF!</v>
      </c>
      <c r="BV21" s="70" t="s">
        <v>398</v>
      </c>
    </row>
    <row r="22" spans="1:74" ht="40.5" customHeight="1" thickBot="1" x14ac:dyDescent="0.3">
      <c r="A22" s="107"/>
      <c r="B22" s="108" t="s">
        <v>138</v>
      </c>
      <c r="C22" s="308" t="s">
        <v>1226</v>
      </c>
      <c r="D22" s="309"/>
      <c r="E22" s="309"/>
      <c r="F22" s="309"/>
      <c r="G22" s="309"/>
      <c r="H22" s="309"/>
      <c r="I22" s="309"/>
      <c r="J22" s="309"/>
      <c r="K22" s="309"/>
      <c r="L22" s="309"/>
      <c r="M22" s="310"/>
    </row>
    <row r="23" spans="1:74" x14ac:dyDescent="0.25">
      <c r="H23" s="311" t="s">
        <v>475</v>
      </c>
      <c r="I23" s="311"/>
      <c r="J23" s="84">
        <f>J12+J15+J20</f>
        <v>0</v>
      </c>
    </row>
    <row r="24" spans="1:74" x14ac:dyDescent="0.25">
      <c r="A24" s="85" t="s">
        <v>138</v>
      </c>
    </row>
    <row r="25" spans="1:74" ht="12.75" customHeight="1" x14ac:dyDescent="0.25">
      <c r="A25" s="306" t="s">
        <v>953</v>
      </c>
      <c r="B25" s="307"/>
      <c r="C25" s="307"/>
      <c r="D25" s="307"/>
      <c r="E25" s="307"/>
      <c r="F25" s="307"/>
      <c r="G25" s="307"/>
      <c r="H25" s="307"/>
      <c r="I25" s="307"/>
      <c r="J25" s="307"/>
      <c r="K25" s="307"/>
      <c r="L25" s="307"/>
      <c r="M25" s="307"/>
    </row>
  </sheetData>
  <sheetProtection algorithmName="SHA-512" hashValue="nl8MsHQntpqa5jJrouTwDrE69Gvb8GJ4ztXf6FumFu9kLHOgzHVyjEc0B/+lAS9qbcwWdUFE9VdmNbpd3ioEGA==" saltValue="AB1I/cXMsHPjyDCrPnD1Lg==" spinCount="100000" sheet="1" formatCells="0" formatColumns="0" formatRows="0" insertColumns="0" insertRows="0" insertHyperlinks="0"/>
  <mergeCells count="42">
    <mergeCell ref="A1:M1"/>
    <mergeCell ref="A2:B3"/>
    <mergeCell ref="C2:D3"/>
    <mergeCell ref="E2:F3"/>
    <mergeCell ref="G2:G3"/>
    <mergeCell ref="H2:H3"/>
    <mergeCell ref="A6:B7"/>
    <mergeCell ref="C6:D7"/>
    <mergeCell ref="E6:F7"/>
    <mergeCell ref="G6:G7"/>
    <mergeCell ref="A4:B5"/>
    <mergeCell ref="C4:D5"/>
    <mergeCell ref="E4:F5"/>
    <mergeCell ref="G4:G5"/>
    <mergeCell ref="A8:B9"/>
    <mergeCell ref="C8:D9"/>
    <mergeCell ref="E8:F9"/>
    <mergeCell ref="G8:G9"/>
    <mergeCell ref="H8:H9"/>
    <mergeCell ref="A25:M25"/>
    <mergeCell ref="C14:M14"/>
    <mergeCell ref="C15:D15"/>
    <mergeCell ref="C16:D16"/>
    <mergeCell ref="C17:M17"/>
    <mergeCell ref="C18:D18"/>
    <mergeCell ref="C19:M19"/>
    <mergeCell ref="I8:M9"/>
    <mergeCell ref="C20:D20"/>
    <mergeCell ref="C21:D21"/>
    <mergeCell ref="C22:M22"/>
    <mergeCell ref="H23:I23"/>
    <mergeCell ref="C10:D10"/>
    <mergeCell ref="H10:J10"/>
    <mergeCell ref="K10:L10"/>
    <mergeCell ref="C11:D11"/>
    <mergeCell ref="C12:D12"/>
    <mergeCell ref="C13:D13"/>
    <mergeCell ref="H4:H5"/>
    <mergeCell ref="H6:H7"/>
    <mergeCell ref="I2:M3"/>
    <mergeCell ref="I4:M5"/>
    <mergeCell ref="I6:M7"/>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74678-A458-4250-AC9D-A1F93532E148}">
  <sheetPr>
    <pageSetUpPr fitToPage="1"/>
  </sheetPr>
  <dimension ref="A1:AQ133"/>
  <sheetViews>
    <sheetView tabSelected="1" view="pageBreakPreview" topLeftCell="A13" zoomScale="85" zoomScaleNormal="115" zoomScaleSheetLayoutView="85" workbookViewId="0">
      <selection activeCell="D21" sqref="D21"/>
    </sheetView>
  </sheetViews>
  <sheetFormatPr defaultColWidth="11.5703125" defaultRowHeight="12.75" x14ac:dyDescent="0.2"/>
  <cols>
    <col min="1" max="1" width="4.7109375" style="127" customWidth="1"/>
    <col min="2" max="2" width="6.85546875" style="127" customWidth="1"/>
    <col min="3" max="3" width="11.7109375" style="127" customWidth="1"/>
    <col min="4" max="4" width="91.42578125" style="127" customWidth="1"/>
    <col min="5" max="5" width="7" style="127" customWidth="1"/>
    <col min="6" max="6" width="12.85546875" style="127" customWidth="1"/>
    <col min="7" max="7" width="12" style="127" customWidth="1"/>
    <col min="8" max="10" width="15.28515625" style="127" customWidth="1"/>
    <col min="11" max="12" width="13.140625" style="127" customWidth="1"/>
    <col min="13" max="13" width="12.85546875" style="127" customWidth="1"/>
    <col min="14" max="14" width="2.5703125" style="127" customWidth="1"/>
    <col min="15" max="15" width="1.5703125" style="127" customWidth="1"/>
    <col min="16" max="47" width="12.140625" style="127" customWidth="1"/>
    <col min="48" max="16384" width="11.5703125" style="127"/>
  </cols>
  <sheetData>
    <row r="1" spans="1:13" ht="26.25" customHeight="1" x14ac:dyDescent="0.2">
      <c r="A1" s="294" t="s">
        <v>1236</v>
      </c>
      <c r="B1" s="295"/>
      <c r="C1" s="295"/>
      <c r="D1" s="295"/>
      <c r="E1" s="295"/>
      <c r="F1" s="295"/>
      <c r="G1" s="295"/>
      <c r="H1" s="295"/>
      <c r="I1" s="295"/>
      <c r="J1" s="295"/>
      <c r="K1" s="295"/>
      <c r="L1" s="295"/>
      <c r="M1" s="296"/>
    </row>
    <row r="2" spans="1:13" ht="15" customHeight="1" x14ac:dyDescent="0.2">
      <c r="A2" s="297" t="s">
        <v>84</v>
      </c>
      <c r="B2" s="298"/>
      <c r="C2" s="298"/>
      <c r="D2" s="299" t="s">
        <v>1237</v>
      </c>
      <c r="E2" s="300" t="s">
        <v>86</v>
      </c>
      <c r="F2" s="298"/>
      <c r="G2" s="300" t="s">
        <v>1238</v>
      </c>
      <c r="H2" s="298"/>
      <c r="I2" s="301" t="s">
        <v>1211</v>
      </c>
      <c r="J2" s="301" t="s">
        <v>1239</v>
      </c>
      <c r="K2" s="298"/>
      <c r="L2" s="298"/>
      <c r="M2" s="302"/>
    </row>
    <row r="3" spans="1:13" ht="15" customHeight="1" x14ac:dyDescent="0.2">
      <c r="A3" s="292"/>
      <c r="B3" s="284"/>
      <c r="C3" s="284"/>
      <c r="D3" s="251"/>
      <c r="E3" s="284"/>
      <c r="F3" s="284"/>
      <c r="G3" s="284"/>
      <c r="H3" s="284"/>
      <c r="I3" s="284"/>
      <c r="J3" s="284"/>
      <c r="K3" s="284"/>
      <c r="L3" s="284"/>
      <c r="M3" s="290"/>
    </row>
    <row r="4" spans="1:13" ht="9.6" customHeight="1" x14ac:dyDescent="0.2">
      <c r="A4" s="283" t="s">
        <v>88</v>
      </c>
      <c r="B4" s="284"/>
      <c r="C4" s="284"/>
      <c r="D4" s="287" t="s">
        <v>1240</v>
      </c>
      <c r="E4" s="288" t="s">
        <v>90</v>
      </c>
      <c r="F4" s="284"/>
      <c r="G4" s="293" t="s">
        <v>1230</v>
      </c>
      <c r="H4" s="284"/>
      <c r="I4" s="287" t="s">
        <v>1213</v>
      </c>
      <c r="J4" s="287" t="s">
        <v>1241</v>
      </c>
      <c r="K4" s="284"/>
      <c r="L4" s="284"/>
      <c r="M4" s="290"/>
    </row>
    <row r="5" spans="1:13" ht="9.6" customHeight="1" x14ac:dyDescent="0.2">
      <c r="A5" s="292"/>
      <c r="B5" s="284"/>
      <c r="C5" s="284"/>
      <c r="D5" s="284"/>
      <c r="E5" s="284"/>
      <c r="F5" s="284"/>
      <c r="G5" s="284"/>
      <c r="H5" s="284"/>
      <c r="I5" s="284"/>
      <c r="J5" s="284"/>
      <c r="K5" s="284"/>
      <c r="L5" s="284"/>
      <c r="M5" s="290"/>
    </row>
    <row r="6" spans="1:13" x14ac:dyDescent="0.2">
      <c r="A6" s="283" t="s">
        <v>91</v>
      </c>
      <c r="B6" s="284"/>
      <c r="C6" s="284"/>
      <c r="D6" s="287" t="s">
        <v>1242</v>
      </c>
      <c r="E6" s="288" t="s">
        <v>93</v>
      </c>
      <c r="F6" s="284"/>
      <c r="G6" s="293" t="s">
        <v>1230</v>
      </c>
      <c r="H6" s="284"/>
      <c r="I6" s="287" t="s">
        <v>1214</v>
      </c>
      <c r="J6" s="287" t="s">
        <v>1243</v>
      </c>
      <c r="K6" s="284"/>
      <c r="L6" s="284"/>
      <c r="M6" s="290"/>
    </row>
    <row r="7" spans="1:13" x14ac:dyDescent="0.2">
      <c r="A7" s="292"/>
      <c r="B7" s="284"/>
      <c r="C7" s="284"/>
      <c r="D7" s="284"/>
      <c r="E7" s="284"/>
      <c r="F7" s="284"/>
      <c r="G7" s="284"/>
      <c r="H7" s="284"/>
      <c r="I7" s="284"/>
      <c r="J7" s="284"/>
      <c r="K7" s="284"/>
      <c r="L7" s="284"/>
      <c r="M7" s="290"/>
    </row>
    <row r="8" spans="1:13" ht="12.75" customHeight="1" x14ac:dyDescent="0.2">
      <c r="A8" s="283" t="s">
        <v>95</v>
      </c>
      <c r="B8" s="284"/>
      <c r="C8" s="284"/>
      <c r="D8" s="287"/>
      <c r="E8" s="288" t="s">
        <v>97</v>
      </c>
      <c r="F8" s="284"/>
      <c r="G8" s="288" t="s">
        <v>1244</v>
      </c>
      <c r="H8" s="288"/>
      <c r="I8" s="287" t="s">
        <v>1216</v>
      </c>
      <c r="J8" s="287" t="s">
        <v>1241</v>
      </c>
      <c r="K8" s="284"/>
      <c r="L8" s="284"/>
      <c r="M8" s="290"/>
    </row>
    <row r="9" spans="1:13" ht="13.5" thickBot="1" x14ac:dyDescent="0.25">
      <c r="A9" s="285"/>
      <c r="B9" s="286"/>
      <c r="C9" s="286"/>
      <c r="D9" s="286"/>
      <c r="E9" s="286"/>
      <c r="F9" s="286"/>
      <c r="G9" s="289"/>
      <c r="H9" s="289"/>
      <c r="I9" s="286"/>
      <c r="J9" s="286"/>
      <c r="K9" s="286"/>
      <c r="L9" s="286"/>
      <c r="M9" s="291"/>
    </row>
    <row r="10" spans="1:13" ht="4.1500000000000004" customHeight="1" x14ac:dyDescent="0.2">
      <c r="A10" s="277"/>
      <c r="B10" s="278"/>
      <c r="C10" s="278"/>
      <c r="D10" s="278"/>
      <c r="E10" s="278"/>
      <c r="F10" s="278"/>
      <c r="G10" s="278"/>
      <c r="H10" s="278"/>
      <c r="I10" s="278"/>
      <c r="J10" s="278"/>
      <c r="K10" s="278"/>
      <c r="L10" s="278"/>
      <c r="M10" s="279"/>
    </row>
    <row r="11" spans="1:13" ht="119.45" customHeight="1" x14ac:dyDescent="0.2">
      <c r="A11" s="280" t="s">
        <v>1245</v>
      </c>
      <c r="B11" s="272"/>
      <c r="C11" s="272"/>
      <c r="D11" s="272"/>
      <c r="E11" s="272"/>
      <c r="F11" s="272"/>
      <c r="G11" s="272"/>
      <c r="H11" s="272"/>
      <c r="I11" s="272"/>
      <c r="J11" s="272"/>
      <c r="K11" s="272"/>
      <c r="L11" s="272"/>
      <c r="M11" s="273"/>
    </row>
    <row r="12" spans="1:13" ht="57.6" customHeight="1" x14ac:dyDescent="0.2">
      <c r="A12" s="280" t="s">
        <v>1246</v>
      </c>
      <c r="B12" s="272"/>
      <c r="C12" s="272"/>
      <c r="D12" s="272"/>
      <c r="E12" s="272"/>
      <c r="F12" s="272"/>
      <c r="G12" s="272"/>
      <c r="H12" s="272"/>
      <c r="I12" s="272"/>
      <c r="J12" s="272"/>
      <c r="K12" s="272"/>
      <c r="L12" s="272"/>
      <c r="M12" s="273"/>
    </row>
    <row r="13" spans="1:13" ht="56.45" customHeight="1" x14ac:dyDescent="0.2">
      <c r="A13" s="281" t="s">
        <v>1247</v>
      </c>
      <c r="B13" s="275"/>
      <c r="C13" s="275"/>
      <c r="D13" s="275"/>
      <c r="E13" s="275"/>
      <c r="F13" s="275"/>
      <c r="G13" s="275"/>
      <c r="H13" s="275"/>
      <c r="I13" s="275"/>
      <c r="J13" s="275"/>
      <c r="K13" s="275"/>
      <c r="L13" s="275"/>
      <c r="M13" s="276"/>
    </row>
    <row r="14" spans="1:13" ht="84" customHeight="1" x14ac:dyDescent="0.2">
      <c r="A14" s="282" t="s">
        <v>1248</v>
      </c>
      <c r="B14" s="272"/>
      <c r="C14" s="272"/>
      <c r="D14" s="272"/>
      <c r="E14" s="272"/>
      <c r="F14" s="272"/>
      <c r="G14" s="272"/>
      <c r="H14" s="272"/>
      <c r="I14" s="272"/>
      <c r="J14" s="272"/>
      <c r="K14" s="272"/>
      <c r="L14" s="272"/>
      <c r="M14" s="273"/>
    </row>
    <row r="15" spans="1:13" ht="40.5" customHeight="1" x14ac:dyDescent="0.2">
      <c r="A15" s="274" t="s">
        <v>1249</v>
      </c>
      <c r="B15" s="275"/>
      <c r="C15" s="275"/>
      <c r="D15" s="275"/>
      <c r="E15" s="275"/>
      <c r="F15" s="275"/>
      <c r="G15" s="275"/>
      <c r="H15" s="275"/>
      <c r="I15" s="275"/>
      <c r="J15" s="275"/>
      <c r="K15" s="275"/>
      <c r="L15" s="275"/>
      <c r="M15" s="276"/>
    </row>
    <row r="16" spans="1:13" ht="29.25" customHeight="1" x14ac:dyDescent="0.2">
      <c r="A16" s="274" t="s">
        <v>1250</v>
      </c>
      <c r="B16" s="275"/>
      <c r="C16" s="275"/>
      <c r="D16" s="275"/>
      <c r="E16" s="275"/>
      <c r="F16" s="275"/>
      <c r="G16" s="275"/>
      <c r="H16" s="275"/>
      <c r="I16" s="275"/>
      <c r="J16" s="275"/>
      <c r="K16" s="275"/>
      <c r="L16" s="275"/>
      <c r="M16" s="276"/>
    </row>
    <row r="17" spans="1:43" ht="42.75" customHeight="1" x14ac:dyDescent="0.2">
      <c r="A17" s="274" t="s">
        <v>1251</v>
      </c>
      <c r="B17" s="275"/>
      <c r="C17" s="275"/>
      <c r="D17" s="275"/>
      <c r="E17" s="275"/>
      <c r="F17" s="275"/>
      <c r="G17" s="275"/>
      <c r="H17" s="275"/>
      <c r="I17" s="275"/>
      <c r="J17" s="275"/>
      <c r="K17" s="275"/>
      <c r="L17" s="275"/>
      <c r="M17" s="276"/>
    </row>
    <row r="18" spans="1:43" ht="31.5" customHeight="1" x14ac:dyDescent="0.2">
      <c r="A18" s="274" t="s">
        <v>1252</v>
      </c>
      <c r="B18" s="275"/>
      <c r="C18" s="275"/>
      <c r="D18" s="275"/>
      <c r="E18" s="275"/>
      <c r="F18" s="275"/>
      <c r="G18" s="275"/>
      <c r="H18" s="275"/>
      <c r="I18" s="275"/>
      <c r="J18" s="275"/>
      <c r="K18" s="275"/>
      <c r="L18" s="275"/>
      <c r="M18" s="276"/>
    </row>
    <row r="19" spans="1:43" ht="42" customHeight="1" x14ac:dyDescent="0.2">
      <c r="A19" s="274" t="s">
        <v>1253</v>
      </c>
      <c r="B19" s="275"/>
      <c r="C19" s="275"/>
      <c r="D19" s="275"/>
      <c r="E19" s="275"/>
      <c r="F19" s="275"/>
      <c r="G19" s="275"/>
      <c r="H19" s="275"/>
      <c r="I19" s="275"/>
      <c r="J19" s="275"/>
      <c r="K19" s="275"/>
      <c r="L19" s="275"/>
      <c r="M19" s="276"/>
    </row>
    <row r="20" spans="1:43" ht="52.9" customHeight="1" x14ac:dyDescent="0.2">
      <c r="A20" s="274" t="s">
        <v>1254</v>
      </c>
      <c r="B20" s="275"/>
      <c r="C20" s="275"/>
      <c r="D20" s="275"/>
      <c r="E20" s="275"/>
      <c r="F20" s="275"/>
      <c r="G20" s="275"/>
      <c r="H20" s="275"/>
      <c r="I20" s="275"/>
      <c r="J20" s="275"/>
      <c r="K20" s="275"/>
      <c r="L20" s="275"/>
      <c r="M20" s="276"/>
    </row>
    <row r="21" spans="1:43" ht="7.5" customHeight="1" thickBot="1" x14ac:dyDescent="0.25">
      <c r="A21" s="128"/>
      <c r="B21" s="129"/>
      <c r="C21" s="129"/>
      <c r="D21" s="129"/>
      <c r="E21" s="129"/>
      <c r="F21" s="129"/>
      <c r="G21" s="129"/>
      <c r="H21" s="129"/>
      <c r="I21" s="129"/>
      <c r="J21" s="129"/>
      <c r="K21" s="129"/>
      <c r="L21" s="129"/>
      <c r="M21" s="131"/>
    </row>
    <row r="22" spans="1:43" x14ac:dyDescent="0.2">
      <c r="A22" s="132" t="s">
        <v>98</v>
      </c>
      <c r="B22" s="133" t="s">
        <v>1255</v>
      </c>
      <c r="C22" s="133" t="s">
        <v>99</v>
      </c>
      <c r="D22" s="133" t="s">
        <v>1256</v>
      </c>
      <c r="E22" s="133" t="s">
        <v>1257</v>
      </c>
      <c r="F22" s="134" t="s">
        <v>102</v>
      </c>
      <c r="G22" s="135" t="s">
        <v>115</v>
      </c>
      <c r="H22" s="260" t="s">
        <v>104</v>
      </c>
      <c r="I22" s="261"/>
      <c r="J22" s="262"/>
      <c r="K22" s="260" t="s">
        <v>105</v>
      </c>
      <c r="L22" s="262"/>
      <c r="M22" s="136" t="s">
        <v>106</v>
      </c>
    </row>
    <row r="23" spans="1:43" x14ac:dyDescent="0.2">
      <c r="A23" s="137" t="s">
        <v>87</v>
      </c>
      <c r="B23" s="138" t="s">
        <v>87</v>
      </c>
      <c r="C23" s="138" t="s">
        <v>87</v>
      </c>
      <c r="D23" s="139" t="s">
        <v>110</v>
      </c>
      <c r="E23" s="138" t="s">
        <v>87</v>
      </c>
      <c r="F23" s="138" t="s">
        <v>87</v>
      </c>
      <c r="G23" s="140" t="s">
        <v>1258</v>
      </c>
      <c r="H23" s="141" t="s">
        <v>112</v>
      </c>
      <c r="I23" s="142" t="s">
        <v>113</v>
      </c>
      <c r="J23" s="143" t="s">
        <v>114</v>
      </c>
      <c r="K23" s="141" t="s">
        <v>115</v>
      </c>
      <c r="L23" s="143" t="s">
        <v>114</v>
      </c>
      <c r="M23" s="144" t="s">
        <v>116</v>
      </c>
      <c r="P23" s="145"/>
      <c r="Q23" s="145"/>
      <c r="R23" s="145"/>
      <c r="S23" s="145"/>
      <c r="T23" s="145"/>
      <c r="U23" s="145"/>
      <c r="V23" s="145"/>
      <c r="W23" s="145"/>
      <c r="X23" s="145"/>
    </row>
    <row r="24" spans="1:43" x14ac:dyDescent="0.2">
      <c r="A24" s="146"/>
      <c r="B24" s="147"/>
      <c r="C24" s="147" t="s">
        <v>1259</v>
      </c>
      <c r="D24" s="269" t="s">
        <v>1260</v>
      </c>
      <c r="E24" s="270"/>
      <c r="F24" s="270"/>
      <c r="G24" s="270"/>
      <c r="H24" s="148"/>
      <c r="I24" s="148"/>
      <c r="J24" s="148"/>
      <c r="K24" s="149"/>
      <c r="L24" s="148"/>
      <c r="M24" s="150" t="s">
        <v>1261</v>
      </c>
      <c r="P24" s="151"/>
      <c r="Q24" s="145"/>
      <c r="R24" s="151"/>
      <c r="S24" s="151"/>
      <c r="T24" s="151"/>
      <c r="U24" s="151"/>
      <c r="V24" s="151"/>
      <c r="W24" s="151"/>
      <c r="X24" s="151"/>
      <c r="Y24" s="145"/>
      <c r="AI24" s="151"/>
      <c r="AJ24" s="151"/>
      <c r="AK24" s="151"/>
    </row>
    <row r="25" spans="1:43" ht="12.75" customHeight="1" x14ac:dyDescent="0.2">
      <c r="A25" s="152" t="s">
        <v>1262</v>
      </c>
      <c r="B25" s="153" t="s">
        <v>1263</v>
      </c>
      <c r="C25" s="153"/>
      <c r="D25" s="153" t="s">
        <v>1264</v>
      </c>
      <c r="E25" s="153" t="s">
        <v>950</v>
      </c>
      <c r="F25" s="154">
        <v>0</v>
      </c>
      <c r="G25" s="155">
        <v>0</v>
      </c>
      <c r="H25" s="154">
        <f>ROUND(0.8*F25*G25,2)</f>
        <v>0</v>
      </c>
      <c r="I25" s="154">
        <f>J25-H25</f>
        <v>0</v>
      </c>
      <c r="J25" s="154">
        <f>ROUND(F25*G25,2)</f>
        <v>0</v>
      </c>
      <c r="K25" s="156"/>
      <c r="L25" s="156"/>
      <c r="M25" s="157"/>
      <c r="N25" s="158"/>
      <c r="O25" s="159"/>
      <c r="Z25" s="159"/>
      <c r="AA25" s="159"/>
      <c r="AB25" s="159"/>
      <c r="AD25" s="160"/>
      <c r="AE25" s="160"/>
      <c r="AF25" s="160"/>
      <c r="AM25" s="160"/>
      <c r="AN25" s="160"/>
      <c r="AO25" s="161"/>
      <c r="AP25" s="161"/>
      <c r="AQ25" s="145"/>
    </row>
    <row r="26" spans="1:43" x14ac:dyDescent="0.2">
      <c r="A26" s="152"/>
      <c r="B26" s="153"/>
      <c r="C26" s="162" t="s">
        <v>138</v>
      </c>
      <c r="D26" s="252" t="s">
        <v>1265</v>
      </c>
      <c r="E26" s="265"/>
      <c r="F26" s="265"/>
      <c r="G26" s="265"/>
      <c r="H26" s="265"/>
      <c r="I26" s="265"/>
      <c r="J26" s="265"/>
      <c r="K26" s="265"/>
      <c r="L26" s="265"/>
      <c r="M26" s="266"/>
      <c r="N26" s="158"/>
      <c r="O26" s="159"/>
      <c r="Z26" s="159"/>
      <c r="AA26" s="159"/>
      <c r="AB26" s="159"/>
      <c r="AD26" s="160"/>
      <c r="AE26" s="160"/>
      <c r="AF26" s="160"/>
      <c r="AM26" s="160"/>
      <c r="AN26" s="160"/>
      <c r="AO26" s="161"/>
      <c r="AP26" s="161"/>
      <c r="AQ26" s="145"/>
    </row>
    <row r="27" spans="1:43" x14ac:dyDescent="0.2">
      <c r="A27" s="152" t="s">
        <v>1266</v>
      </c>
      <c r="B27" s="153" t="s">
        <v>1263</v>
      </c>
      <c r="C27" s="153"/>
      <c r="D27" s="164" t="s">
        <v>1267</v>
      </c>
      <c r="E27" s="153" t="s">
        <v>950</v>
      </c>
      <c r="F27" s="154">
        <v>0</v>
      </c>
      <c r="G27" s="155">
        <v>0</v>
      </c>
      <c r="H27" s="156"/>
      <c r="I27" s="156"/>
      <c r="J27" s="155">
        <f>ROUND(F27*G27,2)</f>
        <v>0</v>
      </c>
      <c r="K27" s="156"/>
      <c r="L27" s="156"/>
      <c r="M27" s="165"/>
      <c r="N27" s="158"/>
      <c r="O27" s="159"/>
      <c r="Z27" s="159"/>
      <c r="AA27" s="159"/>
      <c r="AB27" s="159"/>
      <c r="AD27" s="160"/>
      <c r="AE27" s="160"/>
      <c r="AF27" s="160"/>
      <c r="AM27" s="160"/>
      <c r="AN27" s="160"/>
      <c r="AO27" s="161"/>
      <c r="AP27" s="161"/>
      <c r="AQ27" s="145"/>
    </row>
    <row r="28" spans="1:43" x14ac:dyDescent="0.2">
      <c r="A28" s="152"/>
      <c r="B28" s="153"/>
      <c r="C28" s="162" t="s">
        <v>138</v>
      </c>
      <c r="D28" s="252" t="s">
        <v>1265</v>
      </c>
      <c r="E28" s="265"/>
      <c r="F28" s="265"/>
      <c r="G28" s="265"/>
      <c r="H28" s="265"/>
      <c r="I28" s="265"/>
      <c r="J28" s="265"/>
      <c r="K28" s="265"/>
      <c r="L28" s="265"/>
      <c r="M28" s="266"/>
      <c r="N28" s="158"/>
      <c r="O28" s="159"/>
      <c r="Z28" s="159"/>
      <c r="AA28" s="159"/>
      <c r="AB28" s="159"/>
      <c r="AD28" s="160"/>
      <c r="AE28" s="160"/>
      <c r="AF28" s="160"/>
      <c r="AM28" s="160"/>
      <c r="AN28" s="160"/>
      <c r="AO28" s="161"/>
      <c r="AP28" s="161"/>
      <c r="AQ28" s="145"/>
    </row>
    <row r="29" spans="1:43" x14ac:dyDescent="0.2">
      <c r="A29" s="152" t="s">
        <v>1268</v>
      </c>
      <c r="B29" s="153" t="s">
        <v>1263</v>
      </c>
      <c r="C29" s="153"/>
      <c r="D29" s="166" t="s">
        <v>1269</v>
      </c>
      <c r="E29" s="153" t="s">
        <v>950</v>
      </c>
      <c r="F29" s="154">
        <v>0</v>
      </c>
      <c r="G29" s="155">
        <v>0</v>
      </c>
      <c r="H29" s="156"/>
      <c r="I29" s="156"/>
      <c r="J29" s="155">
        <f>ROUND(F29*G29,2)</f>
        <v>0</v>
      </c>
      <c r="K29" s="156"/>
      <c r="L29" s="156"/>
      <c r="M29" s="163"/>
      <c r="N29" s="158"/>
      <c r="O29" s="159"/>
      <c r="Z29" s="159"/>
      <c r="AA29" s="159"/>
      <c r="AB29" s="159"/>
      <c r="AD29" s="160"/>
      <c r="AE29" s="160"/>
      <c r="AF29" s="160"/>
      <c r="AM29" s="160"/>
      <c r="AN29" s="160"/>
      <c r="AO29" s="161"/>
      <c r="AP29" s="161"/>
      <c r="AQ29" s="145"/>
    </row>
    <row r="30" spans="1:43" x14ac:dyDescent="0.2">
      <c r="A30" s="152"/>
      <c r="B30" s="153"/>
      <c r="C30" s="162" t="s">
        <v>138</v>
      </c>
      <c r="D30" s="252" t="s">
        <v>1265</v>
      </c>
      <c r="E30" s="265"/>
      <c r="F30" s="265"/>
      <c r="G30" s="265"/>
      <c r="H30" s="265"/>
      <c r="I30" s="265"/>
      <c r="J30" s="265"/>
      <c r="K30" s="265"/>
      <c r="L30" s="265"/>
      <c r="M30" s="266"/>
      <c r="N30" s="158"/>
      <c r="O30" s="159"/>
      <c r="Z30" s="159"/>
      <c r="AA30" s="159"/>
      <c r="AB30" s="159"/>
      <c r="AD30" s="160"/>
      <c r="AE30" s="160"/>
      <c r="AF30" s="160"/>
      <c r="AM30" s="160"/>
      <c r="AN30" s="160"/>
      <c r="AO30" s="161"/>
      <c r="AP30" s="161"/>
      <c r="AQ30" s="145"/>
    </row>
    <row r="31" spans="1:43" x14ac:dyDescent="0.2">
      <c r="A31" s="152" t="s">
        <v>1270</v>
      </c>
      <c r="B31" s="153" t="s">
        <v>1263</v>
      </c>
      <c r="C31" s="162"/>
      <c r="D31" s="166" t="s">
        <v>1271</v>
      </c>
      <c r="E31" s="153" t="s">
        <v>950</v>
      </c>
      <c r="F31" s="154">
        <v>0</v>
      </c>
      <c r="G31" s="155">
        <v>0</v>
      </c>
      <c r="H31" s="156"/>
      <c r="I31" s="156"/>
      <c r="J31" s="155">
        <f>ROUND(F31*G31,2)</f>
        <v>0</v>
      </c>
      <c r="K31" s="156"/>
      <c r="L31" s="156"/>
      <c r="M31" s="163"/>
      <c r="N31" s="158"/>
      <c r="O31" s="159"/>
      <c r="Z31" s="159"/>
      <c r="AA31" s="159"/>
      <c r="AB31" s="159"/>
      <c r="AD31" s="160"/>
      <c r="AE31" s="160"/>
      <c r="AF31" s="160"/>
      <c r="AM31" s="160"/>
      <c r="AN31" s="160"/>
      <c r="AO31" s="161"/>
      <c r="AP31" s="161"/>
      <c r="AQ31" s="145"/>
    </row>
    <row r="32" spans="1:43" x14ac:dyDescent="0.2">
      <c r="A32" s="152"/>
      <c r="B32" s="153"/>
      <c r="C32" s="162" t="s">
        <v>138</v>
      </c>
      <c r="D32" s="252" t="s">
        <v>1265</v>
      </c>
      <c r="E32" s="265"/>
      <c r="F32" s="265"/>
      <c r="G32" s="265"/>
      <c r="H32" s="265"/>
      <c r="I32" s="265"/>
      <c r="J32" s="265"/>
      <c r="K32" s="265"/>
      <c r="L32" s="265"/>
      <c r="M32" s="266"/>
      <c r="N32" s="158"/>
      <c r="O32" s="159"/>
      <c r="Z32" s="159"/>
      <c r="AA32" s="159"/>
      <c r="AB32" s="159"/>
      <c r="AD32" s="160"/>
      <c r="AE32" s="160"/>
      <c r="AF32" s="160"/>
      <c r="AM32" s="160"/>
      <c r="AN32" s="160"/>
      <c r="AO32" s="161"/>
      <c r="AP32" s="161"/>
      <c r="AQ32" s="145"/>
    </row>
    <row r="33" spans="1:43" x14ac:dyDescent="0.2">
      <c r="A33" s="152" t="s">
        <v>1272</v>
      </c>
      <c r="B33" s="153" t="s">
        <v>1263</v>
      </c>
      <c r="C33" s="162"/>
      <c r="D33" s="166" t="s">
        <v>1273</v>
      </c>
      <c r="E33" s="153" t="s">
        <v>950</v>
      </c>
      <c r="F33" s="154">
        <v>0</v>
      </c>
      <c r="G33" s="155">
        <v>0</v>
      </c>
      <c r="H33" s="156"/>
      <c r="I33" s="156"/>
      <c r="J33" s="155">
        <f>ROUND(F33*G33,2)</f>
        <v>0</v>
      </c>
      <c r="K33" s="156"/>
      <c r="L33" s="156"/>
      <c r="M33" s="163"/>
      <c r="N33" s="158"/>
      <c r="O33" s="159"/>
      <c r="Z33" s="159"/>
      <c r="AA33" s="159"/>
      <c r="AB33" s="159"/>
      <c r="AD33" s="160"/>
      <c r="AE33" s="160"/>
      <c r="AF33" s="160"/>
      <c r="AM33" s="160"/>
      <c r="AN33" s="160"/>
      <c r="AO33" s="161"/>
      <c r="AP33" s="161"/>
      <c r="AQ33" s="145"/>
    </row>
    <row r="34" spans="1:43" x14ac:dyDescent="0.2">
      <c r="A34" s="152"/>
      <c r="B34" s="153"/>
      <c r="C34" s="162" t="s">
        <v>138</v>
      </c>
      <c r="D34" s="252" t="s">
        <v>1265</v>
      </c>
      <c r="E34" s="265"/>
      <c r="F34" s="265"/>
      <c r="G34" s="265"/>
      <c r="H34" s="265"/>
      <c r="I34" s="265"/>
      <c r="J34" s="265"/>
      <c r="K34" s="265"/>
      <c r="L34" s="265"/>
      <c r="M34" s="266"/>
      <c r="N34" s="158"/>
      <c r="O34" s="159"/>
      <c r="Z34" s="159"/>
      <c r="AA34" s="159"/>
      <c r="AB34" s="159"/>
      <c r="AD34" s="160"/>
      <c r="AE34" s="160"/>
      <c r="AF34" s="160"/>
      <c r="AM34" s="160"/>
      <c r="AN34" s="160"/>
      <c r="AO34" s="161"/>
      <c r="AP34" s="161"/>
      <c r="AQ34" s="145"/>
    </row>
    <row r="35" spans="1:43" x14ac:dyDescent="0.2">
      <c r="A35" s="152" t="s">
        <v>1274</v>
      </c>
      <c r="B35" s="153" t="s">
        <v>1263</v>
      </c>
      <c r="C35" s="162"/>
      <c r="D35" s="166" t="s">
        <v>1275</v>
      </c>
      <c r="E35" s="153" t="s">
        <v>950</v>
      </c>
      <c r="F35" s="154">
        <v>0</v>
      </c>
      <c r="G35" s="155">
        <v>0</v>
      </c>
      <c r="H35" s="156"/>
      <c r="I35" s="156"/>
      <c r="J35" s="155">
        <f>ROUND(F35*G35,2)</f>
        <v>0</v>
      </c>
      <c r="K35" s="156"/>
      <c r="L35" s="156"/>
      <c r="M35" s="163"/>
      <c r="N35" s="158"/>
      <c r="O35" s="159"/>
      <c r="Z35" s="159"/>
      <c r="AA35" s="159"/>
      <c r="AB35" s="159"/>
      <c r="AD35" s="160"/>
      <c r="AE35" s="160"/>
      <c r="AF35" s="160"/>
      <c r="AM35" s="160"/>
      <c r="AN35" s="160"/>
      <c r="AO35" s="161"/>
      <c r="AP35" s="161"/>
      <c r="AQ35" s="145"/>
    </row>
    <row r="36" spans="1:43" ht="13.5" thickBot="1" x14ac:dyDescent="0.25">
      <c r="A36" s="167"/>
      <c r="B36" s="168"/>
      <c r="C36" s="169" t="s">
        <v>138</v>
      </c>
      <c r="D36" s="259" t="s">
        <v>1265</v>
      </c>
      <c r="E36" s="267"/>
      <c r="F36" s="267"/>
      <c r="G36" s="267"/>
      <c r="H36" s="267"/>
      <c r="I36" s="267"/>
      <c r="J36" s="267"/>
      <c r="K36" s="267"/>
      <c r="L36" s="267"/>
      <c r="M36" s="268"/>
      <c r="N36" s="158"/>
      <c r="O36" s="159"/>
      <c r="Z36" s="159"/>
      <c r="AA36" s="159"/>
      <c r="AB36" s="159"/>
      <c r="AD36" s="160"/>
      <c r="AE36" s="160"/>
      <c r="AF36" s="160"/>
      <c r="AM36" s="160"/>
      <c r="AN36" s="160"/>
      <c r="AO36" s="161"/>
      <c r="AP36" s="161"/>
      <c r="AQ36" s="145"/>
    </row>
    <row r="37" spans="1:43" ht="9.75" customHeight="1" x14ac:dyDescent="0.2">
      <c r="A37" s="170"/>
      <c r="B37" s="170"/>
      <c r="C37" s="171"/>
      <c r="D37" s="172"/>
      <c r="E37" s="173"/>
      <c r="F37" s="173"/>
      <c r="G37" s="173"/>
      <c r="H37" s="173"/>
      <c r="I37" s="173"/>
      <c r="J37" s="173"/>
      <c r="K37" s="173"/>
      <c r="L37" s="173"/>
      <c r="M37" s="173"/>
      <c r="N37" s="158"/>
      <c r="O37" s="159"/>
      <c r="Z37" s="159"/>
      <c r="AA37" s="159"/>
      <c r="AB37" s="159"/>
      <c r="AD37" s="160"/>
      <c r="AE37" s="160"/>
      <c r="AF37" s="160"/>
      <c r="AM37" s="160"/>
      <c r="AN37" s="160"/>
      <c r="AO37" s="161"/>
      <c r="AP37" s="161"/>
      <c r="AQ37" s="145"/>
    </row>
    <row r="38" spans="1:43" ht="9.75" customHeight="1" thickBot="1" x14ac:dyDescent="0.25">
      <c r="A38" s="170"/>
      <c r="B38" s="170"/>
      <c r="C38" s="171"/>
      <c r="D38" s="172"/>
      <c r="E38" s="173"/>
      <c r="F38" s="173"/>
      <c r="G38" s="173"/>
      <c r="H38" s="173"/>
      <c r="I38" s="173"/>
      <c r="J38" s="173"/>
      <c r="K38" s="173"/>
      <c r="L38" s="173"/>
      <c r="M38" s="173"/>
      <c r="N38" s="158"/>
      <c r="O38" s="159"/>
      <c r="Z38" s="159"/>
      <c r="AA38" s="159"/>
      <c r="AB38" s="159"/>
      <c r="AD38" s="160"/>
      <c r="AE38" s="160"/>
      <c r="AF38" s="160"/>
      <c r="AM38" s="160"/>
      <c r="AN38" s="160"/>
      <c r="AO38" s="161"/>
      <c r="AP38" s="161"/>
      <c r="AQ38" s="145"/>
    </row>
    <row r="39" spans="1:43" x14ac:dyDescent="0.2">
      <c r="A39" s="132" t="s">
        <v>98</v>
      </c>
      <c r="B39" s="133" t="s">
        <v>1255</v>
      </c>
      <c r="C39" s="133" t="s">
        <v>99</v>
      </c>
      <c r="D39" s="133" t="s">
        <v>1256</v>
      </c>
      <c r="E39" s="133" t="s">
        <v>1257</v>
      </c>
      <c r="F39" s="134" t="s">
        <v>102</v>
      </c>
      <c r="G39" s="135" t="s">
        <v>115</v>
      </c>
      <c r="H39" s="260" t="s">
        <v>104</v>
      </c>
      <c r="I39" s="261"/>
      <c r="J39" s="262"/>
      <c r="K39" s="260" t="s">
        <v>105</v>
      </c>
      <c r="L39" s="262"/>
      <c r="M39" s="136" t="s">
        <v>106</v>
      </c>
    </row>
    <row r="40" spans="1:43" ht="13.5" thickBot="1" x14ac:dyDescent="0.25">
      <c r="A40" s="174" t="s">
        <v>87</v>
      </c>
      <c r="B40" s="175" t="s">
        <v>87</v>
      </c>
      <c r="C40" s="175" t="s">
        <v>87</v>
      </c>
      <c r="D40" s="176" t="s">
        <v>110</v>
      </c>
      <c r="E40" s="175" t="s">
        <v>87</v>
      </c>
      <c r="F40" s="175" t="s">
        <v>87</v>
      </c>
      <c r="G40" s="177" t="s">
        <v>1258</v>
      </c>
      <c r="H40" s="178" t="s">
        <v>112</v>
      </c>
      <c r="I40" s="179" t="s">
        <v>113</v>
      </c>
      <c r="J40" s="180" t="s">
        <v>114</v>
      </c>
      <c r="K40" s="178" t="s">
        <v>115</v>
      </c>
      <c r="L40" s="180" t="s">
        <v>114</v>
      </c>
      <c r="M40" s="181" t="s">
        <v>116</v>
      </c>
      <c r="P40" s="145"/>
      <c r="Q40" s="145"/>
      <c r="R40" s="145"/>
      <c r="S40" s="145"/>
      <c r="T40" s="145"/>
      <c r="U40" s="145"/>
      <c r="V40" s="145"/>
      <c r="W40" s="145"/>
      <c r="X40" s="145"/>
    </row>
    <row r="41" spans="1:43" x14ac:dyDescent="0.2">
      <c r="A41" s="146"/>
      <c r="B41" s="147"/>
      <c r="C41" s="147" t="s">
        <v>1259</v>
      </c>
      <c r="D41" s="269" t="s">
        <v>1260</v>
      </c>
      <c r="E41" s="270"/>
      <c r="F41" s="270"/>
      <c r="G41" s="270"/>
      <c r="H41" s="148"/>
      <c r="I41" s="148"/>
      <c r="J41" s="148"/>
      <c r="K41" s="149"/>
      <c r="L41" s="148"/>
      <c r="M41" s="150" t="s">
        <v>1261</v>
      </c>
      <c r="P41" s="151"/>
      <c r="Q41" s="145"/>
      <c r="R41" s="151"/>
      <c r="S41" s="151"/>
      <c r="T41" s="151"/>
      <c r="U41" s="151"/>
      <c r="V41" s="151"/>
      <c r="W41" s="151"/>
      <c r="X41" s="151"/>
      <c r="Y41" s="145"/>
      <c r="AI41" s="151"/>
      <c r="AJ41" s="151"/>
      <c r="AK41" s="151"/>
    </row>
    <row r="42" spans="1:43" x14ac:dyDescent="0.2">
      <c r="A42" s="152" t="s">
        <v>132</v>
      </c>
      <c r="B42" s="153" t="s">
        <v>1263</v>
      </c>
      <c r="C42" s="153" t="s">
        <v>1276</v>
      </c>
      <c r="D42" s="153" t="s">
        <v>1277</v>
      </c>
      <c r="E42" s="153" t="s">
        <v>950</v>
      </c>
      <c r="F42" s="154">
        <v>2</v>
      </c>
      <c r="G42" s="217">
        <v>0</v>
      </c>
      <c r="H42" s="154">
        <f>ROUND(0.8*F42*G42,2)</f>
        <v>0</v>
      </c>
      <c r="I42" s="154">
        <f>J42-H42</f>
        <v>0</v>
      </c>
      <c r="J42" s="154">
        <f>ROUND(F42*G42,2)</f>
        <v>0</v>
      </c>
      <c r="K42" s="154">
        <v>0</v>
      </c>
      <c r="L42" s="154">
        <f>F42*K42</f>
        <v>0</v>
      </c>
      <c r="M42" s="165"/>
      <c r="N42" s="158"/>
      <c r="O42" s="159"/>
      <c r="Z42" s="159"/>
      <c r="AA42" s="159"/>
      <c r="AB42" s="159"/>
      <c r="AD42" s="160"/>
      <c r="AE42" s="160"/>
      <c r="AF42" s="160"/>
      <c r="AM42" s="160"/>
      <c r="AN42" s="160"/>
      <c r="AO42" s="161"/>
      <c r="AP42" s="161"/>
      <c r="AQ42" s="145"/>
    </row>
    <row r="43" spans="1:43" ht="30" customHeight="1" x14ac:dyDescent="0.2">
      <c r="A43" s="182"/>
      <c r="B43" s="183"/>
      <c r="C43" s="184" t="s">
        <v>138</v>
      </c>
      <c r="D43" s="271" t="s">
        <v>1278</v>
      </c>
      <c r="E43" s="272"/>
      <c r="F43" s="272"/>
      <c r="G43" s="272"/>
      <c r="H43" s="272"/>
      <c r="I43" s="272"/>
      <c r="J43" s="272"/>
      <c r="K43" s="272"/>
      <c r="L43" s="272"/>
      <c r="M43" s="273"/>
    </row>
    <row r="44" spans="1:43" x14ac:dyDescent="0.2">
      <c r="A44" s="152" t="s">
        <v>28</v>
      </c>
      <c r="B44" s="153" t="s">
        <v>1263</v>
      </c>
      <c r="C44" s="153" t="s">
        <v>1279</v>
      </c>
      <c r="D44" s="153" t="s">
        <v>1280</v>
      </c>
      <c r="E44" s="153" t="s">
        <v>950</v>
      </c>
      <c r="F44" s="154">
        <v>1</v>
      </c>
      <c r="G44" s="155">
        <v>0</v>
      </c>
      <c r="H44" s="154">
        <f>ROUND(0.8*F44*G44,2)</f>
        <v>0</v>
      </c>
      <c r="I44" s="154">
        <f>J44-H44</f>
        <v>0</v>
      </c>
      <c r="J44" s="154">
        <f>ROUND(F44*G44,2)</f>
        <v>0</v>
      </c>
      <c r="K44" s="154">
        <v>0</v>
      </c>
      <c r="L44" s="154">
        <f>F44*K44</f>
        <v>0</v>
      </c>
      <c r="M44" s="165"/>
      <c r="N44" s="158"/>
      <c r="O44" s="159"/>
      <c r="Z44" s="159"/>
      <c r="AA44" s="159"/>
      <c r="AB44" s="159"/>
      <c r="AD44" s="160"/>
      <c r="AE44" s="160"/>
      <c r="AF44" s="160"/>
      <c r="AM44" s="160"/>
      <c r="AN44" s="160"/>
      <c r="AO44" s="161"/>
      <c r="AP44" s="161"/>
      <c r="AQ44" s="145"/>
    </row>
    <row r="45" spans="1:43" ht="27" customHeight="1" x14ac:dyDescent="0.2">
      <c r="A45" s="182"/>
      <c r="B45" s="183"/>
      <c r="C45" s="184" t="s">
        <v>138</v>
      </c>
      <c r="D45" s="271" t="s">
        <v>1281</v>
      </c>
      <c r="E45" s="272"/>
      <c r="F45" s="272"/>
      <c r="G45" s="272"/>
      <c r="H45" s="272"/>
      <c r="I45" s="272"/>
      <c r="J45" s="272"/>
      <c r="K45" s="272"/>
      <c r="L45" s="272"/>
      <c r="M45" s="273"/>
    </row>
    <row r="46" spans="1:43" x14ac:dyDescent="0.2">
      <c r="A46" s="152" t="s">
        <v>149</v>
      </c>
      <c r="B46" s="153" t="s">
        <v>1263</v>
      </c>
      <c r="C46" s="153" t="s">
        <v>1282</v>
      </c>
      <c r="D46" s="153" t="s">
        <v>1283</v>
      </c>
      <c r="E46" s="153" t="s">
        <v>950</v>
      </c>
      <c r="F46" s="154">
        <v>1</v>
      </c>
      <c r="G46" s="217">
        <v>0</v>
      </c>
      <c r="H46" s="154">
        <f>ROUND(0.1*F46*G46,2)</f>
        <v>0</v>
      </c>
      <c r="I46" s="154">
        <f>J46-H46</f>
        <v>0</v>
      </c>
      <c r="J46" s="154">
        <f>ROUND(F46*G46,2)</f>
        <v>0</v>
      </c>
      <c r="K46" s="154">
        <v>0</v>
      </c>
      <c r="L46" s="154">
        <f>F46*K46</f>
        <v>0</v>
      </c>
      <c r="M46" s="165"/>
      <c r="N46" s="158"/>
      <c r="O46" s="159"/>
      <c r="Z46" s="159"/>
      <c r="AA46" s="159"/>
      <c r="AB46" s="159"/>
      <c r="AD46" s="160"/>
      <c r="AE46" s="160"/>
      <c r="AF46" s="160"/>
      <c r="AM46" s="160"/>
      <c r="AN46" s="160"/>
      <c r="AO46" s="161"/>
      <c r="AP46" s="161"/>
      <c r="AQ46" s="145"/>
    </row>
    <row r="47" spans="1:43" ht="25.5" customHeight="1" x14ac:dyDescent="0.2">
      <c r="A47" s="182"/>
      <c r="B47" s="183"/>
      <c r="C47" s="162" t="s">
        <v>138</v>
      </c>
      <c r="D47" s="252" t="s">
        <v>1284</v>
      </c>
      <c r="E47" s="265"/>
      <c r="F47" s="265"/>
      <c r="G47" s="265"/>
      <c r="H47" s="265"/>
      <c r="I47" s="265"/>
      <c r="J47" s="265"/>
      <c r="K47" s="265"/>
      <c r="L47" s="265"/>
      <c r="M47" s="266"/>
    </row>
    <row r="48" spans="1:43" x14ac:dyDescent="0.2">
      <c r="A48" s="152" t="s">
        <v>153</v>
      </c>
      <c r="B48" s="153" t="s">
        <v>1263</v>
      </c>
      <c r="C48" s="153" t="s">
        <v>1285</v>
      </c>
      <c r="D48" s="153" t="s">
        <v>1286</v>
      </c>
      <c r="E48" s="153" t="s">
        <v>950</v>
      </c>
      <c r="F48" s="154">
        <v>1</v>
      </c>
      <c r="G48" s="217">
        <v>0</v>
      </c>
      <c r="H48" s="154">
        <f>ROUND(0.1*F48*G48,2)</f>
        <v>0</v>
      </c>
      <c r="I48" s="154">
        <f>J48-H48</f>
        <v>0</v>
      </c>
      <c r="J48" s="154">
        <f>ROUND(F48*G48,2)</f>
        <v>0</v>
      </c>
      <c r="K48" s="154">
        <v>0</v>
      </c>
      <c r="L48" s="154">
        <f>F48*K48</f>
        <v>0</v>
      </c>
      <c r="M48" s="165"/>
      <c r="N48" s="158"/>
      <c r="O48" s="159"/>
      <c r="Z48" s="159"/>
      <c r="AA48" s="159"/>
      <c r="AB48" s="159"/>
      <c r="AD48" s="160"/>
      <c r="AE48" s="160"/>
      <c r="AF48" s="160"/>
      <c r="AM48" s="160"/>
      <c r="AN48" s="160"/>
      <c r="AO48" s="161"/>
      <c r="AP48" s="161"/>
      <c r="AQ48" s="145"/>
    </row>
    <row r="49" spans="1:43" ht="55.5" customHeight="1" x14ac:dyDescent="0.2">
      <c r="A49" s="182"/>
      <c r="B49" s="183"/>
      <c r="C49" s="162" t="s">
        <v>138</v>
      </c>
      <c r="D49" s="252" t="s">
        <v>1287</v>
      </c>
      <c r="E49" s="252"/>
      <c r="F49" s="252"/>
      <c r="G49" s="252"/>
      <c r="H49" s="252"/>
      <c r="I49" s="252"/>
      <c r="J49" s="252"/>
      <c r="K49" s="252"/>
      <c r="L49" s="252"/>
      <c r="M49" s="163"/>
    </row>
    <row r="50" spans="1:43" x14ac:dyDescent="0.2">
      <c r="A50" s="152" t="s">
        <v>158</v>
      </c>
      <c r="B50" s="153" t="s">
        <v>1263</v>
      </c>
      <c r="C50" s="153" t="s">
        <v>1288</v>
      </c>
      <c r="D50" s="153" t="s">
        <v>1289</v>
      </c>
      <c r="E50" s="153" t="s">
        <v>950</v>
      </c>
      <c r="F50" s="154">
        <v>1</v>
      </c>
      <c r="G50" s="217">
        <v>0</v>
      </c>
      <c r="H50" s="154">
        <f>ROUND(0.1*F50*G50,2)</f>
        <v>0</v>
      </c>
      <c r="I50" s="154">
        <f>J50-H50</f>
        <v>0</v>
      </c>
      <c r="J50" s="154">
        <f>ROUND(F50*G50,2)</f>
        <v>0</v>
      </c>
      <c r="K50" s="154">
        <v>0</v>
      </c>
      <c r="L50" s="154">
        <f>F50*K50</f>
        <v>0</v>
      </c>
      <c r="M50" s="165"/>
      <c r="N50" s="158"/>
      <c r="O50" s="159"/>
      <c r="Z50" s="159"/>
      <c r="AA50" s="159"/>
      <c r="AB50" s="159"/>
      <c r="AD50" s="160"/>
      <c r="AE50" s="160"/>
      <c r="AF50" s="160"/>
      <c r="AM50" s="160"/>
      <c r="AN50" s="160"/>
      <c r="AO50" s="161"/>
      <c r="AP50" s="161"/>
      <c r="AQ50" s="145"/>
    </row>
    <row r="51" spans="1:43" ht="52.9" customHeight="1" x14ac:dyDescent="0.2">
      <c r="A51" s="182"/>
      <c r="B51" s="183"/>
      <c r="C51" s="162" t="s">
        <v>138</v>
      </c>
      <c r="D51" s="252" t="s">
        <v>1290</v>
      </c>
      <c r="E51" s="252"/>
      <c r="F51" s="252"/>
      <c r="G51" s="252"/>
      <c r="H51" s="252"/>
      <c r="I51" s="252"/>
      <c r="J51" s="252"/>
      <c r="K51" s="252"/>
      <c r="L51" s="252"/>
      <c r="M51" s="163"/>
    </row>
    <row r="52" spans="1:43" x14ac:dyDescent="0.2">
      <c r="A52" s="152" t="s">
        <v>163</v>
      </c>
      <c r="B52" s="153" t="s">
        <v>1263</v>
      </c>
      <c r="C52" s="153" t="s">
        <v>1291</v>
      </c>
      <c r="D52" s="153" t="s">
        <v>1292</v>
      </c>
      <c r="E52" s="153" t="s">
        <v>950</v>
      </c>
      <c r="F52" s="154">
        <v>1</v>
      </c>
      <c r="G52" s="217">
        <v>0</v>
      </c>
      <c r="H52" s="154">
        <f>ROUND(0.1*F52*G52,2)</f>
        <v>0</v>
      </c>
      <c r="I52" s="154">
        <f>J52-H52</f>
        <v>0</v>
      </c>
      <c r="J52" s="154">
        <f>ROUND(F52*G52,2)</f>
        <v>0</v>
      </c>
      <c r="K52" s="154">
        <v>0</v>
      </c>
      <c r="L52" s="154">
        <f>F52*K52</f>
        <v>0</v>
      </c>
      <c r="M52" s="165"/>
      <c r="N52" s="158"/>
      <c r="O52" s="159"/>
      <c r="Z52" s="159"/>
      <c r="AA52" s="159"/>
      <c r="AB52" s="159"/>
      <c r="AD52" s="160"/>
      <c r="AE52" s="160"/>
      <c r="AF52" s="160"/>
      <c r="AM52" s="160"/>
      <c r="AN52" s="160"/>
      <c r="AO52" s="161"/>
      <c r="AP52" s="161"/>
      <c r="AQ52" s="145"/>
    </row>
    <row r="53" spans="1:43" ht="41.45" customHeight="1" x14ac:dyDescent="0.2">
      <c r="A53" s="182"/>
      <c r="B53" s="183"/>
      <c r="C53" s="162" t="s">
        <v>138</v>
      </c>
      <c r="D53" s="252" t="s">
        <v>1293</v>
      </c>
      <c r="E53" s="252"/>
      <c r="F53" s="252"/>
      <c r="G53" s="252"/>
      <c r="H53" s="252"/>
      <c r="I53" s="252"/>
      <c r="J53" s="252"/>
      <c r="K53" s="252"/>
      <c r="L53" s="252"/>
      <c r="M53" s="163"/>
    </row>
    <row r="54" spans="1:43" x14ac:dyDescent="0.2">
      <c r="A54" s="152" t="s">
        <v>168</v>
      </c>
      <c r="B54" s="153" t="s">
        <v>1263</v>
      </c>
      <c r="C54" s="153" t="s">
        <v>1294</v>
      </c>
      <c r="D54" s="153" t="s">
        <v>1295</v>
      </c>
      <c r="E54" s="153" t="s">
        <v>950</v>
      </c>
      <c r="F54" s="154">
        <v>1</v>
      </c>
      <c r="G54" s="216">
        <v>0</v>
      </c>
      <c r="H54" s="154">
        <f>ROUND(0.1*F54*G54,2)</f>
        <v>0</v>
      </c>
      <c r="I54" s="154">
        <f>J54-H54</f>
        <v>0</v>
      </c>
      <c r="J54" s="154">
        <f>ROUND(F54*G54,2)</f>
        <v>0</v>
      </c>
      <c r="K54" s="154">
        <v>0</v>
      </c>
      <c r="L54" s="154">
        <f>F54*K54</f>
        <v>0</v>
      </c>
      <c r="M54" s="165"/>
      <c r="N54" s="158"/>
      <c r="O54" s="159"/>
      <c r="Z54" s="159"/>
      <c r="AA54" s="159"/>
      <c r="AB54" s="159"/>
      <c r="AD54" s="160"/>
      <c r="AE54" s="160"/>
      <c r="AF54" s="160"/>
      <c r="AM54" s="160"/>
      <c r="AN54" s="160"/>
      <c r="AO54" s="161"/>
      <c r="AP54" s="161"/>
      <c r="AQ54" s="145"/>
    </row>
    <row r="55" spans="1:43" ht="66.599999999999994" customHeight="1" x14ac:dyDescent="0.2">
      <c r="A55" s="182"/>
      <c r="B55" s="183"/>
      <c r="C55" s="162" t="s">
        <v>138</v>
      </c>
      <c r="D55" s="252" t="s">
        <v>1296</v>
      </c>
      <c r="E55" s="252"/>
      <c r="F55" s="252"/>
      <c r="G55" s="252"/>
      <c r="H55" s="252"/>
      <c r="I55" s="252"/>
      <c r="J55" s="252"/>
      <c r="K55" s="252"/>
      <c r="L55" s="252"/>
      <c r="M55" s="163"/>
    </row>
    <row r="56" spans="1:43" x14ac:dyDescent="0.2">
      <c r="A56" s="152" t="s">
        <v>174</v>
      </c>
      <c r="B56" s="153" t="s">
        <v>1263</v>
      </c>
      <c r="C56" s="153" t="s">
        <v>1297</v>
      </c>
      <c r="D56" s="153" t="s">
        <v>1298</v>
      </c>
      <c r="E56" s="153" t="s">
        <v>950</v>
      </c>
      <c r="F56" s="154">
        <v>1</v>
      </c>
      <c r="G56" s="155">
        <v>0</v>
      </c>
      <c r="H56" s="154">
        <f>ROUND(0.1*F56*G56,2)</f>
        <v>0</v>
      </c>
      <c r="I56" s="154">
        <f>J56-H56</f>
        <v>0</v>
      </c>
      <c r="J56" s="154">
        <f>ROUND(F56*G56,2)</f>
        <v>0</v>
      </c>
      <c r="K56" s="154">
        <v>0</v>
      </c>
      <c r="L56" s="154">
        <f>F56*K56</f>
        <v>0</v>
      </c>
      <c r="M56" s="165"/>
      <c r="N56" s="158"/>
      <c r="O56" s="159"/>
      <c r="Z56" s="159"/>
      <c r="AA56" s="159"/>
      <c r="AB56" s="159"/>
      <c r="AD56" s="160"/>
      <c r="AE56" s="160"/>
      <c r="AF56" s="160"/>
      <c r="AM56" s="160"/>
      <c r="AN56" s="160"/>
      <c r="AO56" s="161"/>
      <c r="AP56" s="161"/>
      <c r="AQ56" s="145"/>
    </row>
    <row r="57" spans="1:43" ht="54" customHeight="1" x14ac:dyDescent="0.2">
      <c r="A57" s="182"/>
      <c r="B57" s="183"/>
      <c r="C57" s="162" t="s">
        <v>138</v>
      </c>
      <c r="D57" s="252" t="s">
        <v>1299</v>
      </c>
      <c r="E57" s="252"/>
      <c r="F57" s="252"/>
      <c r="G57" s="252"/>
      <c r="H57" s="252"/>
      <c r="I57" s="252"/>
      <c r="J57" s="252"/>
      <c r="K57" s="252"/>
      <c r="L57" s="252"/>
      <c r="M57" s="163"/>
    </row>
    <row r="58" spans="1:43" ht="25.5" x14ac:dyDescent="0.2">
      <c r="A58" s="152" t="s">
        <v>182</v>
      </c>
      <c r="B58" s="153" t="s">
        <v>1263</v>
      </c>
      <c r="C58" s="153" t="s">
        <v>1300</v>
      </c>
      <c r="D58" s="164" t="s">
        <v>1301</v>
      </c>
      <c r="E58" s="153" t="s">
        <v>950</v>
      </c>
      <c r="F58" s="154">
        <v>1</v>
      </c>
      <c r="G58" s="216">
        <v>0</v>
      </c>
      <c r="H58" s="154">
        <f>ROUND(0.1*F58*G58,2)</f>
        <v>0</v>
      </c>
      <c r="I58" s="154">
        <f>J58-H58</f>
        <v>0</v>
      </c>
      <c r="J58" s="154">
        <f>ROUND(F58*G58,2)</f>
        <v>0</v>
      </c>
      <c r="K58" s="154">
        <v>0</v>
      </c>
      <c r="L58" s="154">
        <f>F58*K58</f>
        <v>0</v>
      </c>
      <c r="M58" s="165"/>
      <c r="N58" s="158"/>
      <c r="O58" s="159"/>
      <c r="Z58" s="159"/>
      <c r="AA58" s="159"/>
      <c r="AB58" s="159"/>
      <c r="AD58" s="160"/>
      <c r="AE58" s="160"/>
      <c r="AF58" s="160"/>
      <c r="AM58" s="160"/>
      <c r="AN58" s="160"/>
      <c r="AO58" s="161"/>
      <c r="AP58" s="161"/>
      <c r="AQ58" s="145"/>
    </row>
    <row r="59" spans="1:43" ht="28.5" customHeight="1" x14ac:dyDescent="0.2">
      <c r="A59" s="152"/>
      <c r="B59" s="153"/>
      <c r="C59" s="162" t="s">
        <v>138</v>
      </c>
      <c r="D59" s="252" t="s">
        <v>1302</v>
      </c>
      <c r="E59" s="252"/>
      <c r="F59" s="252"/>
      <c r="G59" s="252"/>
      <c r="H59" s="252"/>
      <c r="I59" s="252"/>
      <c r="J59" s="252"/>
      <c r="K59" s="252"/>
      <c r="L59" s="252"/>
      <c r="M59" s="163"/>
      <c r="N59" s="158"/>
      <c r="O59" s="159"/>
      <c r="Z59" s="159"/>
      <c r="AA59" s="159"/>
      <c r="AB59" s="159"/>
      <c r="AD59" s="160"/>
      <c r="AE59" s="160"/>
      <c r="AF59" s="160"/>
      <c r="AM59" s="160"/>
      <c r="AN59" s="160"/>
      <c r="AO59" s="161"/>
      <c r="AP59" s="161"/>
      <c r="AQ59" s="145"/>
    </row>
    <row r="60" spans="1:43" ht="33.75" customHeight="1" x14ac:dyDescent="0.2">
      <c r="A60" s="152" t="s">
        <v>187</v>
      </c>
      <c r="B60" s="153" t="s">
        <v>1263</v>
      </c>
      <c r="C60" s="153" t="s">
        <v>1303</v>
      </c>
      <c r="D60" s="164" t="s">
        <v>1304</v>
      </c>
      <c r="E60" s="153" t="s">
        <v>950</v>
      </c>
      <c r="F60" s="154">
        <v>0</v>
      </c>
      <c r="G60" s="155">
        <v>0</v>
      </c>
      <c r="H60" s="154">
        <f>ROUND(0.1*F60*G60,2)</f>
        <v>0</v>
      </c>
      <c r="I60" s="154">
        <f>J60-H60</f>
        <v>0</v>
      </c>
      <c r="J60" s="154">
        <f>ROUND(F60*G60,2)</f>
        <v>0</v>
      </c>
      <c r="K60" s="154">
        <v>0</v>
      </c>
      <c r="L60" s="154">
        <f>F60*K60</f>
        <v>0</v>
      </c>
      <c r="M60" s="165"/>
      <c r="N60" s="158"/>
      <c r="O60" s="159"/>
      <c r="Z60" s="159"/>
      <c r="AA60" s="159"/>
      <c r="AB60" s="159"/>
      <c r="AD60" s="160"/>
      <c r="AE60" s="160"/>
      <c r="AF60" s="160"/>
      <c r="AM60" s="160"/>
      <c r="AN60" s="160"/>
      <c r="AO60" s="161"/>
      <c r="AP60" s="161"/>
      <c r="AQ60" s="145"/>
    </row>
    <row r="61" spans="1:43" ht="28.9" customHeight="1" x14ac:dyDescent="0.2">
      <c r="A61" s="152"/>
      <c r="B61" s="153"/>
      <c r="C61" s="162" t="s">
        <v>138</v>
      </c>
      <c r="D61" s="252" t="s">
        <v>1305</v>
      </c>
      <c r="E61" s="252"/>
      <c r="F61" s="252"/>
      <c r="G61" s="252"/>
      <c r="H61" s="252"/>
      <c r="I61" s="252"/>
      <c r="J61" s="252"/>
      <c r="K61" s="252"/>
      <c r="L61" s="252"/>
      <c r="M61" s="185"/>
      <c r="N61" s="158"/>
      <c r="O61" s="159"/>
      <c r="Z61" s="159"/>
      <c r="AA61" s="159"/>
      <c r="AB61" s="159"/>
      <c r="AD61" s="160"/>
      <c r="AE61" s="160"/>
      <c r="AF61" s="160"/>
      <c r="AM61" s="160"/>
      <c r="AN61" s="160"/>
      <c r="AO61" s="161"/>
      <c r="AP61" s="161"/>
      <c r="AQ61" s="145"/>
    </row>
    <row r="62" spans="1:43" ht="17.25" customHeight="1" x14ac:dyDescent="0.2">
      <c r="A62" s="152" t="s">
        <v>140</v>
      </c>
      <c r="B62" s="153" t="s">
        <v>1263</v>
      </c>
      <c r="C62" s="153" t="s">
        <v>1306</v>
      </c>
      <c r="D62" s="164" t="s">
        <v>1307</v>
      </c>
      <c r="E62" s="153" t="s">
        <v>950</v>
      </c>
      <c r="F62" s="154">
        <v>1</v>
      </c>
      <c r="G62" s="216">
        <v>0</v>
      </c>
      <c r="H62" s="154">
        <f>ROUND(0.1*F62*G62,2)</f>
        <v>0</v>
      </c>
      <c r="I62" s="154">
        <f>J62-H62</f>
        <v>0</v>
      </c>
      <c r="J62" s="154">
        <f>ROUND(F62*G62,2)</f>
        <v>0</v>
      </c>
      <c r="K62" s="154">
        <v>0</v>
      </c>
      <c r="L62" s="154">
        <f>F62*K62</f>
        <v>0</v>
      </c>
      <c r="M62" s="186"/>
      <c r="N62" s="158"/>
      <c r="O62" s="159"/>
      <c r="Z62" s="159"/>
      <c r="AA62" s="159"/>
      <c r="AB62" s="159"/>
      <c r="AD62" s="160"/>
      <c r="AE62" s="160"/>
      <c r="AF62" s="160"/>
      <c r="AM62" s="160"/>
      <c r="AN62" s="160"/>
      <c r="AO62" s="161"/>
      <c r="AP62" s="161"/>
      <c r="AQ62" s="145"/>
    </row>
    <row r="63" spans="1:43" ht="28.15" customHeight="1" x14ac:dyDescent="0.2">
      <c r="A63" s="152"/>
      <c r="B63" s="153"/>
      <c r="C63" s="162" t="s">
        <v>138</v>
      </c>
      <c r="D63" s="252" t="s">
        <v>1308</v>
      </c>
      <c r="E63" s="252"/>
      <c r="F63" s="252"/>
      <c r="G63" s="252"/>
      <c r="H63" s="252"/>
      <c r="I63" s="252"/>
      <c r="J63" s="252"/>
      <c r="K63" s="252"/>
      <c r="L63" s="252"/>
      <c r="M63" s="186"/>
      <c r="N63" s="158"/>
      <c r="O63" s="159"/>
      <c r="Z63" s="159"/>
      <c r="AA63" s="159"/>
      <c r="AB63" s="159"/>
      <c r="AD63" s="160"/>
      <c r="AE63" s="160"/>
      <c r="AF63" s="160"/>
      <c r="AM63" s="160"/>
      <c r="AN63" s="160"/>
      <c r="AO63" s="161"/>
      <c r="AP63" s="161"/>
      <c r="AQ63" s="145"/>
    </row>
    <row r="64" spans="1:43" ht="40.5" customHeight="1" x14ac:dyDescent="0.2">
      <c r="A64" s="152" t="s">
        <v>172</v>
      </c>
      <c r="B64" s="153" t="s">
        <v>1263</v>
      </c>
      <c r="C64" s="153" t="s">
        <v>1309</v>
      </c>
      <c r="D64" s="164" t="s">
        <v>1310</v>
      </c>
      <c r="E64" s="153" t="s">
        <v>950</v>
      </c>
      <c r="F64" s="154">
        <v>1</v>
      </c>
      <c r="G64" s="216">
        <v>0</v>
      </c>
      <c r="H64" s="154">
        <f>ROUND(0.1*F64*G64,2)</f>
        <v>0</v>
      </c>
      <c r="I64" s="154">
        <f>J64-H64</f>
        <v>0</v>
      </c>
      <c r="J64" s="154">
        <f>ROUND(F64*G64,2)</f>
        <v>0</v>
      </c>
      <c r="K64" s="154">
        <v>0</v>
      </c>
      <c r="L64" s="154">
        <f>F64*K64</f>
        <v>0</v>
      </c>
      <c r="M64" s="165"/>
      <c r="N64" s="158"/>
      <c r="O64" s="159"/>
      <c r="Z64" s="159"/>
      <c r="AA64" s="159"/>
      <c r="AB64" s="159"/>
      <c r="AD64" s="160"/>
      <c r="AE64" s="160"/>
      <c r="AF64" s="160"/>
      <c r="AM64" s="160"/>
      <c r="AN64" s="160"/>
      <c r="AO64" s="161"/>
      <c r="AP64" s="161"/>
      <c r="AQ64" s="145"/>
    </row>
    <row r="65" spans="1:43" ht="15" customHeight="1" x14ac:dyDescent="0.2">
      <c r="A65" s="152"/>
      <c r="B65" s="153"/>
      <c r="C65" s="162" t="s">
        <v>138</v>
      </c>
      <c r="D65" s="252" t="s">
        <v>1311</v>
      </c>
      <c r="E65" s="252"/>
      <c r="F65" s="252"/>
      <c r="G65" s="252"/>
      <c r="H65" s="252"/>
      <c r="I65" s="252"/>
      <c r="J65" s="252"/>
      <c r="K65" s="252"/>
      <c r="L65" s="252"/>
      <c r="M65" s="186"/>
      <c r="N65" s="158"/>
      <c r="O65" s="159"/>
      <c r="Z65" s="159"/>
      <c r="AA65" s="159"/>
      <c r="AB65" s="159"/>
      <c r="AD65" s="160"/>
      <c r="AE65" s="160"/>
      <c r="AF65" s="160"/>
      <c r="AM65" s="160"/>
      <c r="AN65" s="160"/>
      <c r="AO65" s="161"/>
      <c r="AP65" s="161"/>
      <c r="AQ65" s="145"/>
    </row>
    <row r="66" spans="1:43" ht="30.6" customHeight="1" x14ac:dyDescent="0.2">
      <c r="A66" s="152" t="s">
        <v>180</v>
      </c>
      <c r="B66" s="153" t="s">
        <v>1263</v>
      </c>
      <c r="C66" s="153" t="s">
        <v>1312</v>
      </c>
      <c r="D66" s="164" t="s">
        <v>1313</v>
      </c>
      <c r="E66" s="153" t="s">
        <v>950</v>
      </c>
      <c r="F66" s="154">
        <v>2</v>
      </c>
      <c r="G66" s="216">
        <v>0</v>
      </c>
      <c r="H66" s="154">
        <f>ROUND(0.1*F66*G66,2)</f>
        <v>0</v>
      </c>
      <c r="I66" s="154">
        <f>J66-H66</f>
        <v>0</v>
      </c>
      <c r="J66" s="154">
        <f>ROUND(F66*G66,2)</f>
        <v>0</v>
      </c>
      <c r="K66" s="154">
        <v>0</v>
      </c>
      <c r="L66" s="154">
        <f>F66*K66</f>
        <v>0</v>
      </c>
      <c r="M66" s="165"/>
      <c r="N66" s="158"/>
      <c r="O66" s="159"/>
      <c r="Z66" s="159"/>
      <c r="AA66" s="159"/>
      <c r="AB66" s="159"/>
      <c r="AD66" s="160"/>
      <c r="AE66" s="160"/>
      <c r="AF66" s="160"/>
      <c r="AM66" s="160"/>
      <c r="AN66" s="160"/>
      <c r="AO66" s="161"/>
      <c r="AP66" s="161"/>
      <c r="AQ66" s="145"/>
    </row>
    <row r="67" spans="1:43" ht="42.6" customHeight="1" thickBot="1" x14ac:dyDescent="0.25">
      <c r="A67" s="167"/>
      <c r="B67" s="168"/>
      <c r="C67" s="169" t="s">
        <v>138</v>
      </c>
      <c r="D67" s="259" t="s">
        <v>1314</v>
      </c>
      <c r="E67" s="259"/>
      <c r="F67" s="259"/>
      <c r="G67" s="259"/>
      <c r="H67" s="259"/>
      <c r="I67" s="259"/>
      <c r="J67" s="259"/>
      <c r="K67" s="259"/>
      <c r="L67" s="259"/>
      <c r="M67" s="187"/>
      <c r="N67" s="158"/>
      <c r="O67" s="159"/>
      <c r="Z67" s="159"/>
      <c r="AA67" s="159"/>
      <c r="AB67" s="159"/>
      <c r="AD67" s="160"/>
      <c r="AE67" s="160"/>
      <c r="AF67" s="160"/>
      <c r="AM67" s="160"/>
      <c r="AN67" s="160"/>
      <c r="AO67" s="161"/>
      <c r="AP67" s="161"/>
      <c r="AQ67" s="145"/>
    </row>
    <row r="68" spans="1:43" ht="8.25" customHeight="1" x14ac:dyDescent="0.2">
      <c r="A68" s="170"/>
      <c r="B68" s="170"/>
      <c r="C68" s="171"/>
      <c r="D68" s="172"/>
      <c r="E68" s="172"/>
      <c r="F68" s="172"/>
      <c r="G68" s="172"/>
      <c r="H68" s="172"/>
      <c r="I68" s="172"/>
      <c r="J68" s="172"/>
      <c r="K68" s="172"/>
      <c r="L68" s="172"/>
      <c r="M68" s="188"/>
      <c r="N68" s="158"/>
      <c r="O68" s="159"/>
      <c r="Z68" s="159"/>
      <c r="AA68" s="159"/>
      <c r="AB68" s="159"/>
      <c r="AD68" s="160"/>
      <c r="AE68" s="160"/>
      <c r="AF68" s="160"/>
      <c r="AM68" s="160"/>
      <c r="AN68" s="160"/>
      <c r="AO68" s="161"/>
      <c r="AP68" s="161"/>
      <c r="AQ68" s="145"/>
    </row>
    <row r="69" spans="1:43" ht="8.25" customHeight="1" thickBot="1" x14ac:dyDescent="0.25">
      <c r="A69" s="170"/>
      <c r="B69" s="170"/>
      <c r="C69" s="171"/>
      <c r="D69" s="172"/>
      <c r="E69" s="172"/>
      <c r="F69" s="172"/>
      <c r="G69" s="172"/>
      <c r="H69" s="172"/>
      <c r="I69" s="172"/>
      <c r="J69" s="172"/>
      <c r="K69" s="172"/>
      <c r="L69" s="172"/>
      <c r="M69" s="172"/>
      <c r="N69" s="158"/>
      <c r="O69" s="159"/>
      <c r="Z69" s="159"/>
      <c r="AA69" s="159"/>
      <c r="AB69" s="159"/>
      <c r="AD69" s="160"/>
      <c r="AE69" s="160"/>
      <c r="AF69" s="160"/>
      <c r="AM69" s="160"/>
      <c r="AN69" s="160"/>
      <c r="AO69" s="161"/>
      <c r="AP69" s="161"/>
      <c r="AQ69" s="145"/>
    </row>
    <row r="70" spans="1:43" x14ac:dyDescent="0.2">
      <c r="A70" s="132" t="s">
        <v>98</v>
      </c>
      <c r="B70" s="133" t="s">
        <v>1255</v>
      </c>
      <c r="C70" s="133" t="s">
        <v>99</v>
      </c>
      <c r="D70" s="133" t="s">
        <v>1256</v>
      </c>
      <c r="E70" s="133" t="s">
        <v>1257</v>
      </c>
      <c r="F70" s="134" t="s">
        <v>102</v>
      </c>
      <c r="G70" s="135" t="s">
        <v>115</v>
      </c>
      <c r="H70" s="260" t="s">
        <v>104</v>
      </c>
      <c r="I70" s="261"/>
      <c r="J70" s="262"/>
      <c r="K70" s="260" t="s">
        <v>105</v>
      </c>
      <c r="L70" s="262"/>
      <c r="M70" s="136" t="s">
        <v>106</v>
      </c>
    </row>
    <row r="71" spans="1:43" ht="13.5" thickBot="1" x14ac:dyDescent="0.25">
      <c r="A71" s="174" t="s">
        <v>87</v>
      </c>
      <c r="B71" s="175" t="s">
        <v>87</v>
      </c>
      <c r="C71" s="175" t="s">
        <v>87</v>
      </c>
      <c r="D71" s="176" t="s">
        <v>110</v>
      </c>
      <c r="E71" s="175" t="s">
        <v>87</v>
      </c>
      <c r="F71" s="175" t="s">
        <v>87</v>
      </c>
      <c r="G71" s="177" t="s">
        <v>1258</v>
      </c>
      <c r="H71" s="178" t="s">
        <v>112</v>
      </c>
      <c r="I71" s="179" t="s">
        <v>113</v>
      </c>
      <c r="J71" s="180" t="s">
        <v>114</v>
      </c>
      <c r="K71" s="178" t="s">
        <v>115</v>
      </c>
      <c r="L71" s="180" t="s">
        <v>114</v>
      </c>
      <c r="M71" s="181" t="s">
        <v>116</v>
      </c>
      <c r="P71" s="145"/>
      <c r="Q71" s="145"/>
      <c r="R71" s="145"/>
      <c r="S71" s="145"/>
      <c r="T71" s="145"/>
      <c r="U71" s="145"/>
      <c r="V71" s="145"/>
      <c r="W71" s="145"/>
      <c r="X71" s="145"/>
    </row>
    <row r="72" spans="1:43" x14ac:dyDescent="0.2">
      <c r="A72" s="189"/>
      <c r="B72" s="190"/>
      <c r="C72" s="190" t="s">
        <v>1259</v>
      </c>
      <c r="D72" s="263" t="s">
        <v>1260</v>
      </c>
      <c r="E72" s="264"/>
      <c r="F72" s="264"/>
      <c r="G72" s="264"/>
      <c r="H72" s="191"/>
      <c r="I72" s="191"/>
      <c r="J72" s="191"/>
      <c r="K72" s="192"/>
      <c r="L72" s="191"/>
      <c r="M72" s="193" t="s">
        <v>1261</v>
      </c>
      <c r="P72" s="151"/>
      <c r="Q72" s="145"/>
      <c r="R72" s="151"/>
      <c r="S72" s="151"/>
      <c r="T72" s="151"/>
      <c r="U72" s="151"/>
      <c r="V72" s="151"/>
      <c r="W72" s="151"/>
      <c r="X72" s="151"/>
      <c r="Y72" s="145"/>
      <c r="AI72" s="151"/>
      <c r="AJ72" s="151"/>
      <c r="AK72" s="151"/>
    </row>
    <row r="73" spans="1:43" ht="21.75" customHeight="1" x14ac:dyDescent="0.2">
      <c r="A73" s="152" t="s">
        <v>200</v>
      </c>
      <c r="B73" s="153" t="s">
        <v>1263</v>
      </c>
      <c r="C73" s="153" t="s">
        <v>1315</v>
      </c>
      <c r="D73" s="164" t="s">
        <v>1316</v>
      </c>
      <c r="E73" s="153" t="s">
        <v>950</v>
      </c>
      <c r="F73" s="154">
        <v>2</v>
      </c>
      <c r="G73" s="216">
        <v>0</v>
      </c>
      <c r="H73" s="154">
        <f>ROUND(0.4*F73*G73,2)</f>
        <v>0</v>
      </c>
      <c r="I73" s="154">
        <f>J73-H73</f>
        <v>0</v>
      </c>
      <c r="J73" s="154">
        <f>ROUND(F73*G73,2)</f>
        <v>0</v>
      </c>
      <c r="K73" s="154">
        <v>0</v>
      </c>
      <c r="L73" s="154">
        <f>F73*K73</f>
        <v>0</v>
      </c>
      <c r="M73" s="165"/>
      <c r="N73" s="158"/>
      <c r="O73" s="159"/>
      <c r="Z73" s="159"/>
      <c r="AA73" s="159"/>
      <c r="AB73" s="159"/>
      <c r="AD73" s="160"/>
      <c r="AE73" s="160"/>
      <c r="AF73" s="160"/>
      <c r="AM73" s="160"/>
      <c r="AN73" s="160"/>
      <c r="AO73" s="161"/>
      <c r="AP73" s="161"/>
      <c r="AQ73" s="145"/>
    </row>
    <row r="74" spans="1:43" ht="39.6" customHeight="1" x14ac:dyDescent="0.2">
      <c r="A74" s="182"/>
      <c r="B74" s="183"/>
      <c r="C74" s="162" t="s">
        <v>138</v>
      </c>
      <c r="D74" s="252" t="s">
        <v>1317</v>
      </c>
      <c r="E74" s="252"/>
      <c r="F74" s="252"/>
      <c r="G74" s="252"/>
      <c r="H74" s="252"/>
      <c r="I74" s="252"/>
      <c r="J74" s="252"/>
      <c r="K74" s="252"/>
      <c r="L74" s="252"/>
      <c r="M74" s="186"/>
    </row>
    <row r="75" spans="1:43" ht="28.5" customHeight="1" x14ac:dyDescent="0.2">
      <c r="A75" s="152" t="s">
        <v>204</v>
      </c>
      <c r="B75" s="153" t="s">
        <v>1263</v>
      </c>
      <c r="C75" s="153" t="s">
        <v>1318</v>
      </c>
      <c r="D75" s="164" t="s">
        <v>1319</v>
      </c>
      <c r="E75" s="153" t="s">
        <v>950</v>
      </c>
      <c r="F75" s="154">
        <v>1</v>
      </c>
      <c r="G75" s="216">
        <v>0</v>
      </c>
      <c r="H75" s="154">
        <f>ROUND(0.1*F75*G75,2)</f>
        <v>0</v>
      </c>
      <c r="I75" s="154">
        <f>J75-H75</f>
        <v>0</v>
      </c>
      <c r="J75" s="154">
        <f>ROUND(F75*G75,2)</f>
        <v>0</v>
      </c>
      <c r="K75" s="154">
        <v>0</v>
      </c>
      <c r="L75" s="154">
        <f>F75*K75</f>
        <v>0</v>
      </c>
      <c r="M75" s="165"/>
      <c r="N75" s="158"/>
      <c r="O75" s="159"/>
      <c r="Z75" s="159"/>
      <c r="AA75" s="159"/>
      <c r="AB75" s="159"/>
      <c r="AD75" s="160"/>
      <c r="AE75" s="160"/>
      <c r="AF75" s="160"/>
      <c r="AM75" s="160"/>
      <c r="AN75" s="160"/>
      <c r="AO75" s="161"/>
      <c r="AP75" s="161"/>
      <c r="AQ75" s="145"/>
    </row>
    <row r="76" spans="1:43" ht="28.5" customHeight="1" x14ac:dyDescent="0.2">
      <c r="A76" s="182"/>
      <c r="B76" s="183"/>
      <c r="C76" s="162" t="s">
        <v>138</v>
      </c>
      <c r="D76" s="252" t="s">
        <v>1320</v>
      </c>
      <c r="E76" s="252"/>
      <c r="F76" s="252"/>
      <c r="G76" s="252"/>
      <c r="H76" s="252"/>
      <c r="I76" s="252"/>
      <c r="J76" s="252"/>
      <c r="K76" s="252"/>
      <c r="L76" s="252"/>
      <c r="M76" s="186"/>
    </row>
    <row r="77" spans="1:43" ht="25.5" customHeight="1" x14ac:dyDescent="0.2">
      <c r="A77" s="152" t="s">
        <v>209</v>
      </c>
      <c r="B77" s="153" t="s">
        <v>1263</v>
      </c>
      <c r="C77" s="153" t="s">
        <v>1321</v>
      </c>
      <c r="D77" s="164" t="s">
        <v>1322</v>
      </c>
      <c r="E77" s="153" t="s">
        <v>950</v>
      </c>
      <c r="F77" s="154">
        <v>1</v>
      </c>
      <c r="G77" s="216">
        <v>0</v>
      </c>
      <c r="H77" s="154">
        <f>ROUND(0.6*F77*G77,2)</f>
        <v>0</v>
      </c>
      <c r="I77" s="154">
        <f>J77-H77</f>
        <v>0</v>
      </c>
      <c r="J77" s="154">
        <f>ROUND(F77*G77,2)</f>
        <v>0</v>
      </c>
      <c r="K77" s="154">
        <v>0</v>
      </c>
      <c r="L77" s="154">
        <f>F77*K77</f>
        <v>0</v>
      </c>
      <c r="M77" s="194"/>
    </row>
    <row r="78" spans="1:43" ht="55.15" customHeight="1" x14ac:dyDescent="0.2">
      <c r="A78" s="182"/>
      <c r="B78" s="183"/>
      <c r="C78" s="162" t="s">
        <v>138</v>
      </c>
      <c r="D78" s="252" t="s">
        <v>1323</v>
      </c>
      <c r="E78" s="252"/>
      <c r="F78" s="252"/>
      <c r="G78" s="252"/>
      <c r="H78" s="252"/>
      <c r="I78" s="252"/>
      <c r="J78" s="252"/>
      <c r="K78" s="252"/>
      <c r="L78" s="252"/>
      <c r="M78" s="186"/>
    </row>
    <row r="79" spans="1:43" ht="20.25" customHeight="1" x14ac:dyDescent="0.2">
      <c r="A79" s="152" t="s">
        <v>214</v>
      </c>
      <c r="B79" s="153" t="s">
        <v>1263</v>
      </c>
      <c r="C79" s="153" t="s">
        <v>1324</v>
      </c>
      <c r="D79" s="164" t="s">
        <v>1325</v>
      </c>
      <c r="E79" s="153" t="s">
        <v>950</v>
      </c>
      <c r="F79" s="154">
        <v>1</v>
      </c>
      <c r="G79" s="216">
        <v>0</v>
      </c>
      <c r="H79" s="154">
        <f>ROUND(0.6*F79*G79,2)</f>
        <v>0</v>
      </c>
      <c r="I79" s="154">
        <f>J79-H79</f>
        <v>0</v>
      </c>
      <c r="J79" s="154">
        <f>ROUND(F79*G79,2)</f>
        <v>0</v>
      </c>
      <c r="K79" s="154">
        <v>0</v>
      </c>
      <c r="L79" s="154">
        <f>F79*K79</f>
        <v>0</v>
      </c>
      <c r="M79" s="163"/>
    </row>
    <row r="80" spans="1:43" ht="15" customHeight="1" x14ac:dyDescent="0.2">
      <c r="A80" s="152"/>
      <c r="B80" s="153"/>
      <c r="C80" s="162" t="s">
        <v>138</v>
      </c>
      <c r="D80" s="252" t="s">
        <v>1326</v>
      </c>
      <c r="E80" s="252"/>
      <c r="F80" s="252"/>
      <c r="G80" s="252"/>
      <c r="H80" s="252"/>
      <c r="I80" s="252"/>
      <c r="J80" s="252"/>
      <c r="K80" s="252"/>
      <c r="L80" s="252"/>
      <c r="M80" s="186"/>
      <c r="N80" s="158"/>
      <c r="O80" s="159"/>
      <c r="Z80" s="159"/>
      <c r="AA80" s="159"/>
      <c r="AB80" s="159"/>
      <c r="AD80" s="160"/>
      <c r="AE80" s="160"/>
      <c r="AF80" s="160"/>
      <c r="AM80" s="160"/>
      <c r="AN80" s="160"/>
      <c r="AO80" s="161"/>
      <c r="AP80" s="161"/>
      <c r="AQ80" s="145"/>
    </row>
    <row r="81" spans="1:43" ht="20.25" customHeight="1" x14ac:dyDescent="0.2">
      <c r="A81" s="152" t="s">
        <v>219</v>
      </c>
      <c r="B81" s="153" t="s">
        <v>1263</v>
      </c>
      <c r="C81" s="153" t="s">
        <v>1327</v>
      </c>
      <c r="D81" s="164" t="s">
        <v>1328</v>
      </c>
      <c r="E81" s="153" t="s">
        <v>950</v>
      </c>
      <c r="F81" s="154">
        <v>1</v>
      </c>
      <c r="G81" s="216">
        <v>0</v>
      </c>
      <c r="H81" s="154">
        <f>ROUND(0.6*F81*G81,2)</f>
        <v>0</v>
      </c>
      <c r="I81" s="154">
        <f>J81-H81</f>
        <v>0</v>
      </c>
      <c r="J81" s="154">
        <f>ROUND(F81*G81,2)</f>
        <v>0</v>
      </c>
      <c r="K81" s="154">
        <v>0</v>
      </c>
      <c r="L81" s="154">
        <f>F81*K81</f>
        <v>0</v>
      </c>
      <c r="M81" s="163"/>
    </row>
    <row r="82" spans="1:43" ht="29.25" customHeight="1" x14ac:dyDescent="0.2">
      <c r="A82" s="182"/>
      <c r="B82" s="183"/>
      <c r="C82" s="162" t="s">
        <v>138</v>
      </c>
      <c r="D82" s="252" t="s">
        <v>1329</v>
      </c>
      <c r="E82" s="252"/>
      <c r="F82" s="252"/>
      <c r="G82" s="252"/>
      <c r="H82" s="252"/>
      <c r="I82" s="252"/>
      <c r="J82" s="252"/>
      <c r="K82" s="252"/>
      <c r="L82" s="252"/>
      <c r="M82" s="186"/>
    </row>
    <row r="83" spans="1:43" ht="20.25" customHeight="1" x14ac:dyDescent="0.2">
      <c r="A83" s="152" t="s">
        <v>224</v>
      </c>
      <c r="B83" s="153" t="s">
        <v>1263</v>
      </c>
      <c r="C83" s="153" t="s">
        <v>1330</v>
      </c>
      <c r="D83" s="164" t="s">
        <v>1331</v>
      </c>
      <c r="E83" s="153" t="s">
        <v>950</v>
      </c>
      <c r="F83" s="154">
        <v>0</v>
      </c>
      <c r="G83" s="155">
        <v>0</v>
      </c>
      <c r="H83" s="154">
        <f>ROUND(0.6*F83*G83,2)</f>
        <v>0</v>
      </c>
      <c r="I83" s="154">
        <f>J83-H83</f>
        <v>0</v>
      </c>
      <c r="J83" s="154">
        <f>ROUND(F83*G83,2)</f>
        <v>0</v>
      </c>
      <c r="K83" s="154">
        <v>0</v>
      </c>
      <c r="L83" s="154">
        <f>F83*K83</f>
        <v>0</v>
      </c>
      <c r="M83" s="186"/>
    </row>
    <row r="84" spans="1:43" ht="41.45" customHeight="1" x14ac:dyDescent="0.2">
      <c r="A84" s="182"/>
      <c r="B84" s="183"/>
      <c r="C84" s="162" t="s">
        <v>138</v>
      </c>
      <c r="D84" s="252" t="s">
        <v>1332</v>
      </c>
      <c r="E84" s="252"/>
      <c r="F84" s="252"/>
      <c r="G84" s="252"/>
      <c r="H84" s="252"/>
      <c r="I84" s="252"/>
      <c r="J84" s="252"/>
      <c r="K84" s="252"/>
      <c r="L84" s="252"/>
      <c r="M84" s="186"/>
    </row>
    <row r="85" spans="1:43" ht="30" customHeight="1" x14ac:dyDescent="0.2">
      <c r="A85" s="152" t="s">
        <v>228</v>
      </c>
      <c r="B85" s="153" t="s">
        <v>1263</v>
      </c>
      <c r="C85" s="153" t="s">
        <v>1333</v>
      </c>
      <c r="D85" s="164" t="s">
        <v>1334</v>
      </c>
      <c r="E85" s="153" t="s">
        <v>950</v>
      </c>
      <c r="F85" s="154">
        <v>4</v>
      </c>
      <c r="G85" s="216">
        <v>0</v>
      </c>
      <c r="H85" s="154">
        <f>ROUND(0.6*F85*G85,2)</f>
        <v>0</v>
      </c>
      <c r="I85" s="154">
        <f>J85-H85</f>
        <v>0</v>
      </c>
      <c r="J85" s="154">
        <f>ROUND(F85*G85,2)</f>
        <v>0</v>
      </c>
      <c r="K85" s="154">
        <v>0</v>
      </c>
      <c r="L85" s="154">
        <f>F85*K85</f>
        <v>0</v>
      </c>
      <c r="M85" s="163"/>
    </row>
    <row r="86" spans="1:43" ht="41.45" customHeight="1" x14ac:dyDescent="0.2">
      <c r="A86" s="182"/>
      <c r="B86" s="183"/>
      <c r="C86" s="162" t="s">
        <v>138</v>
      </c>
      <c r="D86" s="252" t="s">
        <v>1335</v>
      </c>
      <c r="E86" s="252"/>
      <c r="F86" s="252"/>
      <c r="G86" s="252"/>
      <c r="H86" s="252"/>
      <c r="I86" s="252"/>
      <c r="J86" s="252"/>
      <c r="K86" s="252"/>
      <c r="L86" s="252"/>
      <c r="M86" s="186"/>
    </row>
    <row r="87" spans="1:43" ht="20.25" customHeight="1" x14ac:dyDescent="0.2">
      <c r="A87" s="152" t="s">
        <v>232</v>
      </c>
      <c r="B87" s="153" t="s">
        <v>1263</v>
      </c>
      <c r="C87" s="153" t="s">
        <v>1336</v>
      </c>
      <c r="D87" s="164" t="s">
        <v>1337</v>
      </c>
      <c r="E87" s="153" t="s">
        <v>950</v>
      </c>
      <c r="F87" s="154">
        <v>2</v>
      </c>
      <c r="G87" s="216">
        <v>0</v>
      </c>
      <c r="H87" s="154">
        <f>ROUND(0.6*F87*G87,2)</f>
        <v>0</v>
      </c>
      <c r="I87" s="154">
        <f>J87-H87</f>
        <v>0</v>
      </c>
      <c r="J87" s="154">
        <f>ROUND(F87*G87,2)</f>
        <v>0</v>
      </c>
      <c r="K87" s="154">
        <v>0</v>
      </c>
      <c r="L87" s="154">
        <f>F87*K87</f>
        <v>0</v>
      </c>
      <c r="M87" s="163"/>
    </row>
    <row r="88" spans="1:43" ht="66.599999999999994" customHeight="1" x14ac:dyDescent="0.2">
      <c r="A88" s="152"/>
      <c r="B88" s="183"/>
      <c r="C88" s="162" t="s">
        <v>138</v>
      </c>
      <c r="D88" s="252" t="s">
        <v>1338</v>
      </c>
      <c r="E88" s="252"/>
      <c r="F88" s="252"/>
      <c r="G88" s="252"/>
      <c r="H88" s="252"/>
      <c r="I88" s="252"/>
      <c r="J88" s="252"/>
      <c r="K88" s="252"/>
      <c r="L88" s="252"/>
      <c r="M88" s="186"/>
    </row>
    <row r="89" spans="1:43" x14ac:dyDescent="0.2">
      <c r="A89" s="152" t="s">
        <v>236</v>
      </c>
      <c r="B89" s="153" t="s">
        <v>1263</v>
      </c>
      <c r="C89" s="153" t="s">
        <v>1339</v>
      </c>
      <c r="D89" s="153" t="s">
        <v>1340</v>
      </c>
      <c r="E89" s="153" t="s">
        <v>950</v>
      </c>
      <c r="F89" s="154">
        <v>1</v>
      </c>
      <c r="G89" s="216">
        <v>0</v>
      </c>
      <c r="H89" s="154">
        <f>ROUND(0.6*F89*G89,2)</f>
        <v>0</v>
      </c>
      <c r="I89" s="154">
        <f>J89-H89</f>
        <v>0</v>
      </c>
      <c r="J89" s="154">
        <f>ROUND(F89*G89,2)</f>
        <v>0</v>
      </c>
      <c r="K89" s="154">
        <v>0</v>
      </c>
      <c r="L89" s="154">
        <f>F89*K89</f>
        <v>0</v>
      </c>
      <c r="M89" s="165"/>
      <c r="N89" s="158"/>
      <c r="O89" s="159"/>
      <c r="Z89" s="159"/>
      <c r="AA89" s="159"/>
      <c r="AB89" s="159"/>
      <c r="AD89" s="160"/>
      <c r="AE89" s="160"/>
      <c r="AF89" s="160"/>
      <c r="AM89" s="160"/>
      <c r="AN89" s="160"/>
      <c r="AO89" s="161"/>
      <c r="AP89" s="161"/>
      <c r="AQ89" s="145"/>
    </row>
    <row r="90" spans="1:43" ht="39" customHeight="1" x14ac:dyDescent="0.2">
      <c r="A90" s="182"/>
      <c r="B90" s="183"/>
      <c r="C90" s="162" t="s">
        <v>138</v>
      </c>
      <c r="D90" s="252" t="s">
        <v>1341</v>
      </c>
      <c r="E90" s="252"/>
      <c r="F90" s="252"/>
      <c r="G90" s="252"/>
      <c r="H90" s="252"/>
      <c r="I90" s="252"/>
      <c r="J90" s="252"/>
      <c r="K90" s="252"/>
      <c r="L90" s="252"/>
      <c r="M90" s="186"/>
    </row>
    <row r="91" spans="1:43" x14ac:dyDescent="0.2">
      <c r="A91" s="152" t="s">
        <v>240</v>
      </c>
      <c r="B91" s="153" t="s">
        <v>1263</v>
      </c>
      <c r="C91" s="153" t="s">
        <v>1342</v>
      </c>
      <c r="D91" s="153" t="s">
        <v>1340</v>
      </c>
      <c r="E91" s="153" t="s">
        <v>950</v>
      </c>
      <c r="F91" s="154">
        <v>0</v>
      </c>
      <c r="G91" s="155">
        <v>0</v>
      </c>
      <c r="H91" s="154">
        <f>ROUND(0.6*F91*G91,2)</f>
        <v>0</v>
      </c>
      <c r="I91" s="154">
        <f>J91-H91</f>
        <v>0</v>
      </c>
      <c r="J91" s="154">
        <f>ROUND(F91*G91,2)</f>
        <v>0</v>
      </c>
      <c r="K91" s="154">
        <v>0</v>
      </c>
      <c r="L91" s="154">
        <f>F91*K91</f>
        <v>0</v>
      </c>
      <c r="M91" s="165"/>
      <c r="N91" s="158"/>
      <c r="O91" s="159"/>
      <c r="Z91" s="159"/>
      <c r="AA91" s="159"/>
      <c r="AB91" s="159"/>
      <c r="AD91" s="160"/>
      <c r="AE91" s="160"/>
      <c r="AF91" s="160"/>
      <c r="AM91" s="160"/>
      <c r="AN91" s="160"/>
      <c r="AO91" s="161"/>
      <c r="AP91" s="161"/>
      <c r="AQ91" s="145"/>
    </row>
    <row r="92" spans="1:43" ht="40.9" customHeight="1" x14ac:dyDescent="0.2">
      <c r="A92" s="182"/>
      <c r="B92" s="183"/>
      <c r="C92" s="162" t="s">
        <v>138</v>
      </c>
      <c r="D92" s="252" t="s">
        <v>1343</v>
      </c>
      <c r="E92" s="252"/>
      <c r="F92" s="252"/>
      <c r="G92" s="252"/>
      <c r="H92" s="252"/>
      <c r="I92" s="252"/>
      <c r="J92" s="252"/>
      <c r="K92" s="252"/>
      <c r="L92" s="252"/>
      <c r="M92" s="186"/>
    </row>
    <row r="93" spans="1:43" ht="16.5" customHeight="1" x14ac:dyDescent="0.2">
      <c r="A93" s="152" t="s">
        <v>245</v>
      </c>
      <c r="B93" s="153" t="s">
        <v>1263</v>
      </c>
      <c r="C93" s="153" t="s">
        <v>1344</v>
      </c>
      <c r="D93" s="153" t="s">
        <v>1345</v>
      </c>
      <c r="E93" s="153" t="s">
        <v>950</v>
      </c>
      <c r="F93" s="154">
        <v>1</v>
      </c>
      <c r="G93" s="216">
        <v>0</v>
      </c>
      <c r="H93" s="154">
        <f>ROUND(0.6*F93*G93,2)</f>
        <v>0</v>
      </c>
      <c r="I93" s="154">
        <f>J93-H93</f>
        <v>0</v>
      </c>
      <c r="J93" s="154">
        <f>ROUND(F93*G93,2)</f>
        <v>0</v>
      </c>
      <c r="K93" s="154">
        <v>0</v>
      </c>
      <c r="L93" s="154">
        <f>F93*K93</f>
        <v>0</v>
      </c>
      <c r="M93" s="165"/>
      <c r="N93" s="158"/>
      <c r="O93" s="159"/>
      <c r="Z93" s="159"/>
      <c r="AA93" s="159"/>
      <c r="AB93" s="159"/>
      <c r="AD93" s="160"/>
      <c r="AE93" s="160"/>
      <c r="AF93" s="160"/>
      <c r="AM93" s="160"/>
      <c r="AN93" s="160"/>
      <c r="AO93" s="161"/>
      <c r="AP93" s="161"/>
      <c r="AQ93" s="145"/>
    </row>
    <row r="94" spans="1:43" ht="31.5" customHeight="1" x14ac:dyDescent="0.2">
      <c r="A94" s="182"/>
      <c r="B94" s="183"/>
      <c r="C94" s="162" t="s">
        <v>138</v>
      </c>
      <c r="D94" s="252" t="s">
        <v>1346</v>
      </c>
      <c r="E94" s="252"/>
      <c r="F94" s="252"/>
      <c r="G94" s="252"/>
      <c r="H94" s="252"/>
      <c r="I94" s="252"/>
      <c r="J94" s="252"/>
      <c r="K94" s="252"/>
      <c r="L94" s="252"/>
      <c r="M94" s="186"/>
    </row>
    <row r="95" spans="1:43" ht="25.5" x14ac:dyDescent="0.2">
      <c r="A95" s="152" t="s">
        <v>250</v>
      </c>
      <c r="B95" s="153" t="s">
        <v>1263</v>
      </c>
      <c r="C95" s="153" t="s">
        <v>1347</v>
      </c>
      <c r="D95" s="164" t="s">
        <v>1348</v>
      </c>
      <c r="E95" s="153" t="s">
        <v>950</v>
      </c>
      <c r="F95" s="154">
        <v>0</v>
      </c>
      <c r="G95" s="155">
        <v>0</v>
      </c>
      <c r="H95" s="154">
        <f>ROUND(0.6*F95*G95,2)</f>
        <v>0</v>
      </c>
      <c r="I95" s="154">
        <f>J95-H95</f>
        <v>0</v>
      </c>
      <c r="J95" s="154">
        <f>ROUND(F95*G95,2)</f>
        <v>0</v>
      </c>
      <c r="K95" s="154">
        <v>0</v>
      </c>
      <c r="L95" s="154">
        <f>F95*K95</f>
        <v>0</v>
      </c>
      <c r="M95" s="165"/>
      <c r="N95" s="158"/>
      <c r="O95" s="159"/>
      <c r="Z95" s="159"/>
      <c r="AA95" s="159"/>
      <c r="AB95" s="159"/>
      <c r="AD95" s="160"/>
      <c r="AE95" s="160"/>
      <c r="AF95" s="160"/>
      <c r="AM95" s="160"/>
      <c r="AN95" s="160"/>
      <c r="AO95" s="161"/>
      <c r="AP95" s="161"/>
      <c r="AQ95" s="145"/>
    </row>
    <row r="96" spans="1:43" ht="30" customHeight="1" thickBot="1" x14ac:dyDescent="0.25">
      <c r="A96" s="167"/>
      <c r="B96" s="195"/>
      <c r="C96" s="169" t="s">
        <v>138</v>
      </c>
      <c r="D96" s="259" t="s">
        <v>1349</v>
      </c>
      <c r="E96" s="259"/>
      <c r="F96" s="259"/>
      <c r="G96" s="259"/>
      <c r="H96" s="259"/>
      <c r="I96" s="259"/>
      <c r="J96" s="259"/>
      <c r="K96" s="259"/>
      <c r="L96" s="259"/>
      <c r="M96" s="196"/>
    </row>
    <row r="97" spans="1:43" ht="8.25" customHeight="1" x14ac:dyDescent="0.2">
      <c r="A97" s="170"/>
      <c r="B97" s="170"/>
      <c r="C97" s="171"/>
      <c r="D97" s="172"/>
      <c r="E97" s="172"/>
      <c r="F97" s="172"/>
      <c r="G97" s="172"/>
      <c r="H97" s="172"/>
      <c r="I97" s="172"/>
      <c r="J97" s="172"/>
      <c r="K97" s="172"/>
      <c r="L97" s="172"/>
      <c r="M97" s="188"/>
      <c r="N97" s="158"/>
      <c r="O97" s="159"/>
      <c r="Z97" s="159"/>
      <c r="AA97" s="159"/>
      <c r="AB97" s="159"/>
      <c r="AD97" s="160"/>
      <c r="AE97" s="160"/>
      <c r="AF97" s="160"/>
      <c r="AM97" s="160"/>
      <c r="AN97" s="160"/>
      <c r="AO97" s="161"/>
      <c r="AP97" s="161"/>
      <c r="AQ97" s="145"/>
    </row>
    <row r="98" spans="1:43" ht="8.25" customHeight="1" thickBot="1" x14ac:dyDescent="0.25">
      <c r="A98" s="170"/>
      <c r="B98" s="170"/>
      <c r="C98" s="171"/>
      <c r="D98" s="172"/>
      <c r="E98" s="172"/>
      <c r="F98" s="172"/>
      <c r="G98" s="172"/>
      <c r="H98" s="172"/>
      <c r="I98" s="172"/>
      <c r="J98" s="172"/>
      <c r="K98" s="172"/>
      <c r="L98" s="172"/>
      <c r="M98" s="172"/>
      <c r="N98" s="158"/>
      <c r="O98" s="159"/>
      <c r="Z98" s="159"/>
      <c r="AA98" s="159"/>
      <c r="AB98" s="159"/>
      <c r="AD98" s="160"/>
      <c r="AE98" s="160"/>
      <c r="AF98" s="160"/>
      <c r="AM98" s="160"/>
      <c r="AN98" s="160"/>
      <c r="AO98" s="161"/>
      <c r="AP98" s="161"/>
      <c r="AQ98" s="145"/>
    </row>
    <row r="99" spans="1:43" x14ac:dyDescent="0.2">
      <c r="A99" s="132" t="s">
        <v>98</v>
      </c>
      <c r="B99" s="133" t="s">
        <v>1255</v>
      </c>
      <c r="C99" s="133" t="s">
        <v>99</v>
      </c>
      <c r="D99" s="133" t="s">
        <v>1256</v>
      </c>
      <c r="E99" s="133" t="s">
        <v>1257</v>
      </c>
      <c r="F99" s="134" t="s">
        <v>102</v>
      </c>
      <c r="G99" s="135" t="s">
        <v>115</v>
      </c>
      <c r="H99" s="260" t="s">
        <v>104</v>
      </c>
      <c r="I99" s="261"/>
      <c r="J99" s="262"/>
      <c r="K99" s="260" t="s">
        <v>105</v>
      </c>
      <c r="L99" s="262"/>
      <c r="M99" s="136" t="s">
        <v>106</v>
      </c>
    </row>
    <row r="100" spans="1:43" ht="13.5" thickBot="1" x14ac:dyDescent="0.25">
      <c r="A100" s="174" t="s">
        <v>87</v>
      </c>
      <c r="B100" s="175" t="s">
        <v>87</v>
      </c>
      <c r="C100" s="175" t="s">
        <v>87</v>
      </c>
      <c r="D100" s="176" t="s">
        <v>110</v>
      </c>
      <c r="E100" s="175" t="s">
        <v>87</v>
      </c>
      <c r="F100" s="175" t="s">
        <v>87</v>
      </c>
      <c r="G100" s="177" t="s">
        <v>1258</v>
      </c>
      <c r="H100" s="178" t="s">
        <v>112</v>
      </c>
      <c r="I100" s="179" t="s">
        <v>113</v>
      </c>
      <c r="J100" s="180" t="s">
        <v>114</v>
      </c>
      <c r="K100" s="178" t="s">
        <v>115</v>
      </c>
      <c r="L100" s="180" t="s">
        <v>114</v>
      </c>
      <c r="M100" s="181" t="s">
        <v>116</v>
      </c>
      <c r="P100" s="145"/>
      <c r="Q100" s="145"/>
      <c r="R100" s="145"/>
      <c r="S100" s="145"/>
      <c r="T100" s="145"/>
      <c r="U100" s="145"/>
      <c r="V100" s="145"/>
      <c r="W100" s="145"/>
      <c r="X100" s="145"/>
    </row>
    <row r="101" spans="1:43" x14ac:dyDescent="0.2">
      <c r="A101" s="189"/>
      <c r="B101" s="190"/>
      <c r="C101" s="190" t="s">
        <v>1259</v>
      </c>
      <c r="D101" s="263" t="s">
        <v>1260</v>
      </c>
      <c r="E101" s="264"/>
      <c r="F101" s="264"/>
      <c r="G101" s="264"/>
      <c r="H101" s="191"/>
      <c r="I101" s="191"/>
      <c r="J101" s="191"/>
      <c r="K101" s="192"/>
      <c r="L101" s="191"/>
      <c r="M101" s="193" t="s">
        <v>1261</v>
      </c>
      <c r="P101" s="151"/>
      <c r="Q101" s="145"/>
      <c r="R101" s="151"/>
      <c r="S101" s="151"/>
      <c r="T101" s="151"/>
      <c r="U101" s="151"/>
      <c r="V101" s="151"/>
      <c r="W101" s="151"/>
      <c r="X101" s="151"/>
      <c r="Y101" s="145"/>
      <c r="AI101" s="151"/>
      <c r="AJ101" s="151"/>
      <c r="AK101" s="151"/>
    </row>
    <row r="102" spans="1:43" ht="20.25" customHeight="1" x14ac:dyDescent="0.2">
      <c r="A102" s="152" t="s">
        <v>253</v>
      </c>
      <c r="B102" s="153" t="s">
        <v>1263</v>
      </c>
      <c r="C102" s="153" t="s">
        <v>1350</v>
      </c>
      <c r="D102" s="164" t="s">
        <v>1351</v>
      </c>
      <c r="E102" s="153" t="s">
        <v>135</v>
      </c>
      <c r="F102" s="154">
        <v>6</v>
      </c>
      <c r="G102" s="216">
        <v>0</v>
      </c>
      <c r="H102" s="154">
        <f>ROUND(0.6*F102*G102,2)</f>
        <v>0</v>
      </c>
      <c r="I102" s="154">
        <f>J102-H102</f>
        <v>0</v>
      </c>
      <c r="J102" s="154">
        <f>ROUND(F102*G102,2)</f>
        <v>0</v>
      </c>
      <c r="K102" s="154">
        <v>0</v>
      </c>
      <c r="L102" s="154">
        <f>F102*K102</f>
        <v>0</v>
      </c>
      <c r="M102" s="165"/>
    </row>
    <row r="103" spans="1:43" ht="42" customHeight="1" x14ac:dyDescent="0.2">
      <c r="A103" s="152"/>
      <c r="B103" s="183"/>
      <c r="C103" s="162" t="s">
        <v>138</v>
      </c>
      <c r="D103" s="252" t="s">
        <v>1352</v>
      </c>
      <c r="E103" s="252"/>
      <c r="F103" s="252"/>
      <c r="G103" s="252"/>
      <c r="H103" s="252"/>
      <c r="I103" s="252"/>
      <c r="J103" s="252"/>
      <c r="K103" s="252"/>
      <c r="L103" s="252"/>
      <c r="M103" s="186"/>
    </row>
    <row r="104" spans="1:43" ht="19.899999999999999" customHeight="1" x14ac:dyDescent="0.2">
      <c r="A104" s="152" t="s">
        <v>258</v>
      </c>
      <c r="B104" s="153" t="s">
        <v>1263</v>
      </c>
      <c r="C104" s="153" t="s">
        <v>1353</v>
      </c>
      <c r="D104" s="164" t="s">
        <v>1354</v>
      </c>
      <c r="E104" s="153" t="s">
        <v>135</v>
      </c>
      <c r="F104" s="154">
        <v>1</v>
      </c>
      <c r="G104" s="216">
        <v>0</v>
      </c>
      <c r="H104" s="154">
        <f>ROUND(0.6*F104*G104,2)</f>
        <v>0</v>
      </c>
      <c r="I104" s="154">
        <f>J104-H104</f>
        <v>0</v>
      </c>
      <c r="J104" s="154">
        <f>ROUND(F104*G104,2)</f>
        <v>0</v>
      </c>
      <c r="K104" s="154">
        <v>0</v>
      </c>
      <c r="L104" s="154">
        <f>F104*K104</f>
        <v>0</v>
      </c>
      <c r="M104" s="163"/>
    </row>
    <row r="105" spans="1:43" ht="15.6" customHeight="1" x14ac:dyDescent="0.2">
      <c r="A105" s="152"/>
      <c r="B105" s="183"/>
      <c r="C105" s="162" t="s">
        <v>138</v>
      </c>
      <c r="D105" s="252" t="s">
        <v>1355</v>
      </c>
      <c r="E105" s="252"/>
      <c r="F105" s="252"/>
      <c r="G105" s="252"/>
      <c r="H105" s="252"/>
      <c r="I105" s="252"/>
      <c r="J105" s="252"/>
      <c r="K105" s="252"/>
      <c r="L105" s="252"/>
      <c r="M105" s="186"/>
    </row>
    <row r="106" spans="1:43" ht="16.149999999999999" customHeight="1" x14ac:dyDescent="0.2">
      <c r="A106" s="152" t="s">
        <v>263</v>
      </c>
      <c r="B106" s="153" t="s">
        <v>1263</v>
      </c>
      <c r="C106" s="153" t="s">
        <v>1356</v>
      </c>
      <c r="D106" s="164" t="s">
        <v>1357</v>
      </c>
      <c r="E106" s="153" t="s">
        <v>135</v>
      </c>
      <c r="F106" s="154">
        <v>4</v>
      </c>
      <c r="G106" s="216">
        <v>0</v>
      </c>
      <c r="H106" s="154">
        <f>ROUND(0.6*F106*G106,2)</f>
        <v>0</v>
      </c>
      <c r="I106" s="154">
        <f>J106-H106</f>
        <v>0</v>
      </c>
      <c r="J106" s="154">
        <f>ROUND(F106*G106,2)</f>
        <v>0</v>
      </c>
      <c r="K106" s="154">
        <v>0</v>
      </c>
      <c r="L106" s="154">
        <f>F106*K106</f>
        <v>0</v>
      </c>
      <c r="M106" s="163"/>
    </row>
    <row r="107" spans="1:43" ht="39.6" customHeight="1" x14ac:dyDescent="0.2">
      <c r="A107" s="152"/>
      <c r="B107" s="183"/>
      <c r="C107" s="162" t="s">
        <v>138</v>
      </c>
      <c r="D107" s="252" t="s">
        <v>1358</v>
      </c>
      <c r="E107" s="252"/>
      <c r="F107" s="252"/>
      <c r="G107" s="252"/>
      <c r="H107" s="252"/>
      <c r="I107" s="252"/>
      <c r="J107" s="252"/>
      <c r="K107" s="252"/>
      <c r="L107" s="252"/>
      <c r="M107" s="186"/>
    </row>
    <row r="108" spans="1:43" x14ac:dyDescent="0.2">
      <c r="A108" s="152" t="s">
        <v>268</v>
      </c>
      <c r="B108" s="153" t="s">
        <v>1263</v>
      </c>
      <c r="C108" s="153" t="s">
        <v>1359</v>
      </c>
      <c r="D108" s="153" t="s">
        <v>1357</v>
      </c>
      <c r="E108" s="153" t="s">
        <v>950</v>
      </c>
      <c r="F108" s="154">
        <v>0</v>
      </c>
      <c r="G108" s="155">
        <v>0</v>
      </c>
      <c r="H108" s="154">
        <f>ROUND(F108*AE108,2)</f>
        <v>0</v>
      </c>
      <c r="I108" s="154">
        <f>J108-H108</f>
        <v>0</v>
      </c>
      <c r="J108" s="154">
        <f>ROUND(F108*G108,2)</f>
        <v>0</v>
      </c>
      <c r="K108" s="154">
        <v>0</v>
      </c>
      <c r="L108" s="154">
        <f>F108*K108</f>
        <v>0</v>
      </c>
      <c r="M108" s="165"/>
      <c r="N108" s="158"/>
      <c r="O108" s="159"/>
      <c r="Z108" s="159"/>
      <c r="AA108" s="159"/>
      <c r="AB108" s="159"/>
      <c r="AD108" s="160"/>
      <c r="AE108" s="160"/>
      <c r="AF108" s="160"/>
      <c r="AM108" s="160"/>
      <c r="AN108" s="160"/>
      <c r="AO108" s="161"/>
      <c r="AP108" s="161"/>
      <c r="AQ108" s="145"/>
    </row>
    <row r="109" spans="1:43" ht="39.6" customHeight="1" x14ac:dyDescent="0.2">
      <c r="A109" s="152"/>
      <c r="B109" s="183"/>
      <c r="C109" s="162" t="s">
        <v>138</v>
      </c>
      <c r="D109" s="256" t="s">
        <v>1360</v>
      </c>
      <c r="E109" s="257"/>
      <c r="F109" s="257"/>
      <c r="G109" s="257"/>
      <c r="H109" s="257"/>
      <c r="I109" s="257"/>
      <c r="J109" s="257"/>
      <c r="K109" s="257"/>
      <c r="L109" s="258"/>
      <c r="M109" s="186"/>
    </row>
    <row r="110" spans="1:43" ht="32.25" customHeight="1" x14ac:dyDescent="0.2">
      <c r="A110" s="152" t="s">
        <v>274</v>
      </c>
      <c r="B110" s="153" t="s">
        <v>1263</v>
      </c>
      <c r="C110" s="153" t="s">
        <v>1361</v>
      </c>
      <c r="D110" s="164" t="s">
        <v>1362</v>
      </c>
      <c r="E110" s="153" t="s">
        <v>177</v>
      </c>
      <c r="F110" s="154">
        <v>0</v>
      </c>
      <c r="G110" s="155">
        <v>0</v>
      </c>
      <c r="H110" s="154">
        <f>ROUND(F110*AE110,2)</f>
        <v>0</v>
      </c>
      <c r="I110" s="154">
        <f>J110-H110</f>
        <v>0</v>
      </c>
      <c r="J110" s="154">
        <f>ROUND(F110*G110,2)</f>
        <v>0</v>
      </c>
      <c r="K110" s="154">
        <v>0</v>
      </c>
      <c r="L110" s="154">
        <f>F110*K110</f>
        <v>0</v>
      </c>
      <c r="M110" s="186"/>
    </row>
    <row r="111" spans="1:43" ht="15.75" customHeight="1" x14ac:dyDescent="0.2">
      <c r="A111" s="182"/>
      <c r="B111" s="183"/>
      <c r="C111" s="162" t="s">
        <v>138</v>
      </c>
      <c r="D111" s="252" t="s">
        <v>1363</v>
      </c>
      <c r="E111" s="252"/>
      <c r="F111" s="252"/>
      <c r="G111" s="252"/>
      <c r="H111" s="252"/>
      <c r="I111" s="252"/>
      <c r="J111" s="252"/>
      <c r="K111" s="252"/>
      <c r="L111" s="252"/>
      <c r="M111" s="186"/>
    </row>
    <row r="112" spans="1:43" ht="26.45" customHeight="1" x14ac:dyDescent="0.2">
      <c r="A112" s="152" t="s">
        <v>278</v>
      </c>
      <c r="B112" s="153" t="s">
        <v>1263</v>
      </c>
      <c r="C112" s="153" t="s">
        <v>1364</v>
      </c>
      <c r="D112" s="164" t="s">
        <v>1365</v>
      </c>
      <c r="E112" s="153" t="s">
        <v>950</v>
      </c>
      <c r="F112" s="154">
        <v>0</v>
      </c>
      <c r="G112" s="155">
        <v>0</v>
      </c>
      <c r="H112" s="154">
        <f>ROUND(F112*AE112,2)</f>
        <v>0</v>
      </c>
      <c r="I112" s="154">
        <f>J112-H112</f>
        <v>0</v>
      </c>
      <c r="J112" s="154">
        <f>ROUND(F112*G112,2)</f>
        <v>0</v>
      </c>
      <c r="K112" s="154">
        <v>0</v>
      </c>
      <c r="L112" s="154">
        <f>F112*K112</f>
        <v>0</v>
      </c>
      <c r="M112" s="197"/>
      <c r="P112" s="151"/>
      <c r="Q112" s="145"/>
      <c r="R112" s="151"/>
      <c r="S112" s="151"/>
      <c r="T112" s="151"/>
      <c r="U112" s="151"/>
      <c r="V112" s="151"/>
      <c r="W112" s="151"/>
      <c r="X112" s="151"/>
      <c r="Y112" s="145"/>
      <c r="AI112" s="151"/>
      <c r="AJ112" s="151"/>
      <c r="AK112" s="151"/>
    </row>
    <row r="113" spans="1:43" ht="27.6" customHeight="1" x14ac:dyDescent="0.2">
      <c r="A113" s="152"/>
      <c r="B113" s="183"/>
      <c r="C113" s="162" t="s">
        <v>138</v>
      </c>
      <c r="D113" s="252" t="s">
        <v>1366</v>
      </c>
      <c r="E113" s="252"/>
      <c r="F113" s="252"/>
      <c r="G113" s="252"/>
      <c r="H113" s="252"/>
      <c r="I113" s="252"/>
      <c r="J113" s="252"/>
      <c r="K113" s="252"/>
      <c r="L113" s="252"/>
      <c r="M113" s="197"/>
      <c r="P113" s="151"/>
      <c r="Q113" s="145"/>
      <c r="R113" s="151"/>
      <c r="S113" s="151"/>
      <c r="T113" s="151"/>
      <c r="U113" s="151"/>
      <c r="V113" s="151"/>
      <c r="W113" s="151"/>
      <c r="X113" s="151"/>
      <c r="Y113" s="145"/>
      <c r="AI113" s="151"/>
      <c r="AJ113" s="151"/>
      <c r="AK113" s="151"/>
    </row>
    <row r="114" spans="1:43" ht="25.5" x14ac:dyDescent="0.2">
      <c r="A114" s="152" t="s">
        <v>283</v>
      </c>
      <c r="B114" s="153" t="s">
        <v>1263</v>
      </c>
      <c r="C114" s="153" t="s">
        <v>1367</v>
      </c>
      <c r="D114" s="164" t="s">
        <v>1368</v>
      </c>
      <c r="E114" s="153" t="s">
        <v>950</v>
      </c>
      <c r="F114" s="154">
        <v>2</v>
      </c>
      <c r="G114" s="216">
        <v>0</v>
      </c>
      <c r="H114" s="154">
        <f>ROUND(F114*AE114,2)</f>
        <v>0</v>
      </c>
      <c r="I114" s="154">
        <f>J114-H114</f>
        <v>0</v>
      </c>
      <c r="J114" s="154">
        <f>ROUND(F114*G114,2)</f>
        <v>0</v>
      </c>
      <c r="K114" s="154">
        <v>0</v>
      </c>
      <c r="L114" s="154">
        <f>F114*K114</f>
        <v>0</v>
      </c>
      <c r="M114" s="165"/>
      <c r="N114" s="158"/>
      <c r="O114" s="159"/>
      <c r="Z114" s="159"/>
      <c r="AA114" s="159"/>
      <c r="AB114" s="159"/>
      <c r="AD114" s="160"/>
      <c r="AE114" s="160"/>
      <c r="AF114" s="160"/>
      <c r="AM114" s="160"/>
      <c r="AN114" s="160"/>
      <c r="AO114" s="161"/>
      <c r="AP114" s="161"/>
      <c r="AQ114" s="145"/>
    </row>
    <row r="115" spans="1:43" ht="15.75" customHeight="1" x14ac:dyDescent="0.2">
      <c r="A115" s="152"/>
      <c r="B115" s="183"/>
      <c r="C115" s="162" t="s">
        <v>138</v>
      </c>
      <c r="D115" s="252" t="s">
        <v>1369</v>
      </c>
      <c r="E115" s="252"/>
      <c r="F115" s="252"/>
      <c r="G115" s="252"/>
      <c r="H115" s="252"/>
      <c r="I115" s="252"/>
      <c r="J115" s="252"/>
      <c r="K115" s="252"/>
      <c r="L115" s="252"/>
      <c r="M115" s="186"/>
    </row>
    <row r="116" spans="1:43" ht="42" customHeight="1" x14ac:dyDescent="0.2">
      <c r="A116" s="152" t="s">
        <v>290</v>
      </c>
      <c r="B116" s="153" t="s">
        <v>1263</v>
      </c>
      <c r="C116" s="153" t="s">
        <v>1370</v>
      </c>
      <c r="D116" s="164" t="s">
        <v>1371</v>
      </c>
      <c r="E116" s="153" t="s">
        <v>950</v>
      </c>
      <c r="F116" s="154">
        <v>2</v>
      </c>
      <c r="G116" s="216">
        <v>0</v>
      </c>
      <c r="H116" s="154">
        <f>ROUND(F116*AE116,2)</f>
        <v>0</v>
      </c>
      <c r="I116" s="154">
        <f>J116-H116</f>
        <v>0</v>
      </c>
      <c r="J116" s="154">
        <f>ROUND(F116*G116,2)</f>
        <v>0</v>
      </c>
      <c r="K116" s="154">
        <v>0</v>
      </c>
      <c r="L116" s="154">
        <f>F116*K116</f>
        <v>0</v>
      </c>
      <c r="M116" s="165"/>
    </row>
    <row r="117" spans="1:43" ht="15.75" customHeight="1" x14ac:dyDescent="0.2">
      <c r="A117" s="152"/>
      <c r="B117" s="183"/>
      <c r="C117" s="162" t="s">
        <v>138</v>
      </c>
      <c r="D117" s="252" t="s">
        <v>1372</v>
      </c>
      <c r="E117" s="252"/>
      <c r="F117" s="252"/>
      <c r="G117" s="252"/>
      <c r="H117" s="252"/>
      <c r="I117" s="252"/>
      <c r="J117" s="252"/>
      <c r="K117" s="252"/>
      <c r="L117" s="252"/>
      <c r="M117" s="186"/>
    </row>
    <row r="118" spans="1:43" x14ac:dyDescent="0.2">
      <c r="A118" s="152" t="s">
        <v>298</v>
      </c>
      <c r="B118" s="153" t="s">
        <v>1263</v>
      </c>
      <c r="C118" s="153" t="s">
        <v>1373</v>
      </c>
      <c r="D118" s="164" t="s">
        <v>1374</v>
      </c>
      <c r="E118" s="153" t="s">
        <v>950</v>
      </c>
      <c r="F118" s="154">
        <v>0</v>
      </c>
      <c r="G118" s="155">
        <v>0</v>
      </c>
      <c r="H118" s="154">
        <f>ROUND(F118*AE118,2)</f>
        <v>0</v>
      </c>
      <c r="I118" s="154">
        <f>J118-H118</f>
        <v>0</v>
      </c>
      <c r="J118" s="154">
        <f>ROUND(F118*G118,2)</f>
        <v>0</v>
      </c>
      <c r="K118" s="154">
        <v>0</v>
      </c>
      <c r="L118" s="154">
        <f>F118*K118</f>
        <v>0</v>
      </c>
      <c r="M118" s="165"/>
      <c r="N118" s="158"/>
      <c r="O118" s="159"/>
      <c r="Z118" s="159"/>
      <c r="AA118" s="159"/>
      <c r="AB118" s="159"/>
      <c r="AD118" s="160"/>
      <c r="AE118" s="160"/>
      <c r="AF118" s="160"/>
      <c r="AM118" s="160"/>
      <c r="AN118" s="160"/>
      <c r="AO118" s="161"/>
      <c r="AP118" s="161"/>
      <c r="AQ118" s="145"/>
    </row>
    <row r="119" spans="1:43" ht="15.75" customHeight="1" x14ac:dyDescent="0.2">
      <c r="A119" s="152"/>
      <c r="B119" s="183"/>
      <c r="C119" s="162"/>
      <c r="D119" s="252" t="s">
        <v>1375</v>
      </c>
      <c r="E119" s="252"/>
      <c r="F119" s="252"/>
      <c r="G119" s="252"/>
      <c r="H119" s="252"/>
      <c r="I119" s="252"/>
      <c r="J119" s="252"/>
      <c r="K119" s="252"/>
      <c r="L119" s="252"/>
      <c r="M119" s="186"/>
    </row>
    <row r="120" spans="1:43" x14ac:dyDescent="0.2">
      <c r="A120" s="152" t="s">
        <v>304</v>
      </c>
      <c r="B120" s="153" t="s">
        <v>1263</v>
      </c>
      <c r="C120" s="153" t="s">
        <v>1376</v>
      </c>
      <c r="D120" s="153" t="s">
        <v>1377</v>
      </c>
      <c r="E120" s="153" t="s">
        <v>950</v>
      </c>
      <c r="F120" s="154">
        <v>1</v>
      </c>
      <c r="G120" s="216">
        <v>0</v>
      </c>
      <c r="H120" s="154">
        <f>ROUND(0.6*F120*G120,2)</f>
        <v>0</v>
      </c>
      <c r="I120" s="154">
        <f>J120-H120</f>
        <v>0</v>
      </c>
      <c r="J120" s="154">
        <f>ROUND(F120*G120,2)</f>
        <v>0</v>
      </c>
      <c r="K120" s="154">
        <v>0</v>
      </c>
      <c r="L120" s="154">
        <f>F120*K120</f>
        <v>0</v>
      </c>
      <c r="M120" s="165"/>
      <c r="N120" s="158"/>
      <c r="O120" s="159"/>
      <c r="Z120" s="159"/>
      <c r="AA120" s="159"/>
      <c r="AB120" s="159"/>
      <c r="AD120" s="160"/>
      <c r="AE120" s="160"/>
      <c r="AF120" s="160"/>
      <c r="AM120" s="160"/>
      <c r="AN120" s="160"/>
      <c r="AO120" s="161"/>
      <c r="AP120" s="161"/>
      <c r="AQ120" s="145"/>
    </row>
    <row r="121" spans="1:43" ht="40.9" customHeight="1" x14ac:dyDescent="0.2">
      <c r="A121" s="152"/>
      <c r="B121" s="153"/>
      <c r="C121" s="162" t="s">
        <v>138</v>
      </c>
      <c r="D121" s="252" t="s">
        <v>1378</v>
      </c>
      <c r="E121" s="252"/>
      <c r="F121" s="252"/>
      <c r="G121" s="252"/>
      <c r="H121" s="252"/>
      <c r="I121" s="252"/>
      <c r="J121" s="252"/>
      <c r="K121" s="252"/>
      <c r="L121" s="252"/>
      <c r="M121" s="186"/>
    </row>
    <row r="122" spans="1:43" x14ac:dyDescent="0.2">
      <c r="A122" s="152" t="s">
        <v>308</v>
      </c>
      <c r="B122" s="153" t="s">
        <v>1263</v>
      </c>
      <c r="C122" s="153" t="s">
        <v>1379</v>
      </c>
      <c r="D122" s="153" t="s">
        <v>1380</v>
      </c>
      <c r="E122" s="153" t="s">
        <v>950</v>
      </c>
      <c r="F122" s="154">
        <v>0</v>
      </c>
      <c r="G122" s="155">
        <v>0</v>
      </c>
      <c r="H122" s="154">
        <f>ROUND(0.6*F122*G122,2)</f>
        <v>0</v>
      </c>
      <c r="I122" s="154">
        <f>J122-H122</f>
        <v>0</v>
      </c>
      <c r="J122" s="154">
        <f>ROUND(F122*G122,2)</f>
        <v>0</v>
      </c>
      <c r="K122" s="154">
        <v>0</v>
      </c>
      <c r="L122" s="154">
        <f>F122*K122</f>
        <v>0</v>
      </c>
      <c r="M122" s="165"/>
      <c r="N122" s="158"/>
      <c r="O122" s="159"/>
      <c r="Z122" s="159"/>
      <c r="AA122" s="159"/>
      <c r="AB122" s="159"/>
      <c r="AD122" s="160"/>
      <c r="AE122" s="160"/>
      <c r="AF122" s="160"/>
      <c r="AM122" s="160"/>
      <c r="AN122" s="160"/>
      <c r="AO122" s="161"/>
      <c r="AP122" s="161"/>
      <c r="AQ122" s="145"/>
    </row>
    <row r="123" spans="1:43" ht="66" customHeight="1" x14ac:dyDescent="0.2">
      <c r="A123" s="152"/>
      <c r="B123" s="183"/>
      <c r="C123" s="162" t="s">
        <v>138</v>
      </c>
      <c r="D123" s="252" t="s">
        <v>1381</v>
      </c>
      <c r="E123" s="252"/>
      <c r="F123" s="252"/>
      <c r="G123" s="252"/>
      <c r="H123" s="252"/>
      <c r="I123" s="252"/>
      <c r="J123" s="252"/>
      <c r="K123" s="252"/>
      <c r="L123" s="252"/>
      <c r="M123" s="186"/>
    </row>
    <row r="124" spans="1:43" x14ac:dyDescent="0.2">
      <c r="A124" s="152" t="s">
        <v>310</v>
      </c>
      <c r="B124" s="153" t="s">
        <v>1263</v>
      </c>
      <c r="C124" s="153" t="s">
        <v>1382</v>
      </c>
      <c r="D124" s="153" t="s">
        <v>1383</v>
      </c>
      <c r="E124" s="153" t="s">
        <v>950</v>
      </c>
      <c r="F124" s="154">
        <v>2</v>
      </c>
      <c r="G124" s="216">
        <v>0</v>
      </c>
      <c r="H124" s="154">
        <f>ROUND(0.1*F124*G124,2)</f>
        <v>0</v>
      </c>
      <c r="I124" s="154">
        <f>J124-H124</f>
        <v>0</v>
      </c>
      <c r="J124" s="154">
        <f>ROUND(F124*G124,2)</f>
        <v>0</v>
      </c>
      <c r="K124" s="154">
        <v>0</v>
      </c>
      <c r="L124" s="154">
        <f>F124*K124</f>
        <v>0</v>
      </c>
      <c r="M124" s="198"/>
    </row>
    <row r="125" spans="1:43" ht="52.9" customHeight="1" x14ac:dyDescent="0.2">
      <c r="A125" s="152"/>
      <c r="B125" s="183"/>
      <c r="C125" s="162" t="s">
        <v>138</v>
      </c>
      <c r="D125" s="252" t="s">
        <v>1384</v>
      </c>
      <c r="E125" s="252"/>
      <c r="F125" s="252"/>
      <c r="G125" s="252"/>
      <c r="H125" s="252"/>
      <c r="I125" s="252"/>
      <c r="J125" s="252"/>
      <c r="K125" s="252"/>
      <c r="L125" s="252"/>
      <c r="M125" s="198"/>
    </row>
    <row r="126" spans="1:43" x14ac:dyDescent="0.2">
      <c r="A126" s="152" t="s">
        <v>316</v>
      </c>
      <c r="B126" s="153" t="s">
        <v>1263</v>
      </c>
      <c r="C126" s="153" t="s">
        <v>1385</v>
      </c>
      <c r="D126" s="164" t="s">
        <v>1386</v>
      </c>
      <c r="E126" s="153" t="s">
        <v>950</v>
      </c>
      <c r="F126" s="154">
        <v>0</v>
      </c>
      <c r="G126" s="155">
        <v>0</v>
      </c>
      <c r="H126" s="154">
        <f>ROUND(F126*AE136,2)</f>
        <v>0</v>
      </c>
      <c r="I126" s="154">
        <f>J126-H126</f>
        <v>0</v>
      </c>
      <c r="J126" s="154">
        <f>ROUND(F126*G126,2)</f>
        <v>0</v>
      </c>
      <c r="K126" s="154">
        <v>0</v>
      </c>
      <c r="L126" s="154">
        <f>F126*K126</f>
        <v>0</v>
      </c>
      <c r="M126" s="198"/>
    </row>
    <row r="127" spans="1:43" ht="26.45" customHeight="1" x14ac:dyDescent="0.2">
      <c r="A127" s="152"/>
      <c r="B127" s="183"/>
      <c r="C127" s="162" t="s">
        <v>138</v>
      </c>
      <c r="D127" s="252" t="s">
        <v>1387</v>
      </c>
      <c r="E127" s="252"/>
      <c r="F127" s="252"/>
      <c r="G127" s="252"/>
      <c r="H127" s="252"/>
      <c r="I127" s="252"/>
      <c r="J127" s="252"/>
      <c r="K127" s="252"/>
      <c r="L127" s="252"/>
      <c r="M127" s="198"/>
    </row>
    <row r="128" spans="1:43" ht="19.899999999999999" customHeight="1" thickBot="1" x14ac:dyDescent="0.25">
      <c r="A128" s="199"/>
      <c r="C128" s="171"/>
      <c r="D128" s="172"/>
      <c r="E128" s="172"/>
      <c r="F128" s="172"/>
      <c r="G128" s="172"/>
      <c r="H128" s="253" t="s">
        <v>104</v>
      </c>
      <c r="I128" s="254"/>
      <c r="J128" s="255"/>
      <c r="K128" s="172"/>
      <c r="L128" s="172"/>
      <c r="M128" s="200"/>
    </row>
    <row r="129" spans="1:13" ht="22.5" customHeight="1" thickBot="1" x14ac:dyDescent="0.25">
      <c r="A129" s="244" t="s">
        <v>1388</v>
      </c>
      <c r="B129" s="245"/>
      <c r="C129" s="245"/>
      <c r="D129" s="245"/>
      <c r="E129" s="245"/>
      <c r="F129" s="245"/>
      <c r="G129" s="246"/>
      <c r="H129" s="201" t="s">
        <v>112</v>
      </c>
      <c r="I129" s="202" t="s">
        <v>113</v>
      </c>
      <c r="J129" s="203" t="s">
        <v>114</v>
      </c>
      <c r="K129" s="204"/>
      <c r="L129" s="205"/>
      <c r="M129" s="206"/>
    </row>
    <row r="130" spans="1:13" ht="24" customHeight="1" thickBot="1" x14ac:dyDescent="0.25">
      <c r="A130" s="247" t="s">
        <v>1389</v>
      </c>
      <c r="B130" s="248"/>
      <c r="C130" s="248"/>
      <c r="D130" s="248"/>
      <c r="E130" s="248"/>
      <c r="F130" s="248"/>
      <c r="G130" s="249"/>
      <c r="H130" s="207">
        <f>H42+H44+H46+H48+H50+H52+H54+H56+H58+H60+H62+H64+H66+H73+H75+H77+H79+H81+H83+H85+H87+H89+H91+H93+H95+H102+H104+H106+H108+H110+H112+H114+H116+H118+H120+H122+H124+H126</f>
        <v>0</v>
      </c>
      <c r="I130" s="207">
        <f>I42+I44+I46+I48+I50+I52+I54+I56+I58+I60+I62+I64+I66+I73+I75+I77+I79+I81+I83+I85+I87+I89+I91+I93+I95+I102+I104+I106+I108+I110+I112+I114+I116+I118+I120+I122+I124+I126</f>
        <v>0</v>
      </c>
      <c r="J130" s="207">
        <f>J42+J44+J46+J48+J50+J52+J54+J56+J58+J60+J62+J64+J66+J73+J75+J77+J79+J81+J83+J85+J87+J89+J91+J93+J95+J102+J104+J106+J108+J110+J112+J114+J116+J118+J120+J122+J124+J126</f>
        <v>0</v>
      </c>
      <c r="K130" s="208" t="s">
        <v>1390</v>
      </c>
      <c r="L130" s="209"/>
      <c r="M130" s="210"/>
    </row>
    <row r="131" spans="1:13" ht="16.5" customHeight="1" x14ac:dyDescent="0.2">
      <c r="A131" s="211" t="s">
        <v>1391</v>
      </c>
      <c r="B131" s="212"/>
      <c r="C131" s="212"/>
      <c r="D131" s="212"/>
      <c r="E131" s="130"/>
      <c r="F131" s="213"/>
      <c r="G131" s="130"/>
      <c r="H131" s="214"/>
      <c r="I131" s="214"/>
      <c r="J131" s="214"/>
      <c r="K131" s="215"/>
      <c r="L131" s="214"/>
      <c r="M131" s="215"/>
    </row>
    <row r="132" spans="1:13" ht="15" customHeight="1" x14ac:dyDescent="0.2">
      <c r="A132" s="250" t="s">
        <v>1392</v>
      </c>
      <c r="B132" s="250"/>
      <c r="C132" s="250"/>
      <c r="D132" s="250"/>
      <c r="E132" s="250"/>
      <c r="F132" s="250"/>
      <c r="G132" s="250"/>
      <c r="H132" s="250"/>
      <c r="I132" s="250"/>
      <c r="J132" s="250"/>
      <c r="K132" s="250"/>
      <c r="L132" s="250"/>
      <c r="M132" s="250"/>
    </row>
    <row r="133" spans="1:13" ht="15" customHeight="1" x14ac:dyDescent="0.2">
      <c r="A133" s="251" t="s">
        <v>1393</v>
      </c>
      <c r="B133" s="251"/>
      <c r="C133" s="251"/>
      <c r="D133" s="251"/>
      <c r="E133" s="251"/>
      <c r="F133" s="251"/>
      <c r="G133" s="251"/>
      <c r="H133" s="251"/>
      <c r="I133" s="251"/>
      <c r="J133" s="251"/>
      <c r="K133" s="251"/>
      <c r="L133" s="251"/>
      <c r="M133" s="251"/>
    </row>
  </sheetData>
  <sheetProtection algorithmName="SHA-512" hashValue="3Ub9naXDHqx2K65It6QZk9/zakvhxR4KTPnzuucDPbesx+peWyQbgKMcng3qogcFMsWpOtrd19CAhGxyUXaWTg==" saltValue="kZxmxBHjuhb6A17Ed3lPBQ==" spinCount="100000" sheet="1" formatCells="0" formatColumns="0" formatRows="0" insertColumns="0" insertRows="0" insertHyperlinks="0"/>
  <mergeCells count="97">
    <mergeCell ref="J4:M5"/>
    <mergeCell ref="A1:M1"/>
    <mergeCell ref="A2:C3"/>
    <mergeCell ref="D2:D3"/>
    <mergeCell ref="E2:F3"/>
    <mergeCell ref="G2:H3"/>
    <mergeCell ref="I2:I3"/>
    <mergeCell ref="J2:M3"/>
    <mergeCell ref="A4:C5"/>
    <mergeCell ref="D4:D5"/>
    <mergeCell ref="E4:F5"/>
    <mergeCell ref="G4:H5"/>
    <mergeCell ref="I4:I5"/>
    <mergeCell ref="J8:M9"/>
    <mergeCell ref="A6:C7"/>
    <mergeCell ref="D6:D7"/>
    <mergeCell ref="E6:F7"/>
    <mergeCell ref="G6:H7"/>
    <mergeCell ref="I6:I7"/>
    <mergeCell ref="J6:M7"/>
    <mergeCell ref="A8:C9"/>
    <mergeCell ref="D8:D9"/>
    <mergeCell ref="E8:F9"/>
    <mergeCell ref="G8:H9"/>
    <mergeCell ref="I8:I9"/>
    <mergeCell ref="H22:J22"/>
    <mergeCell ref="K22:L22"/>
    <mergeCell ref="A10:M10"/>
    <mergeCell ref="A11:M11"/>
    <mergeCell ref="A12:M12"/>
    <mergeCell ref="A13:M13"/>
    <mergeCell ref="A14:M14"/>
    <mergeCell ref="A15:M15"/>
    <mergeCell ref="A16:M16"/>
    <mergeCell ref="A17:M17"/>
    <mergeCell ref="A18:M18"/>
    <mergeCell ref="A19:M19"/>
    <mergeCell ref="A20:M20"/>
    <mergeCell ref="D45:M45"/>
    <mergeCell ref="D24:G24"/>
    <mergeCell ref="D26:M26"/>
    <mergeCell ref="D28:M28"/>
    <mergeCell ref="D30:M30"/>
    <mergeCell ref="D32:M32"/>
    <mergeCell ref="D34:M34"/>
    <mergeCell ref="D36:M36"/>
    <mergeCell ref="H39:J39"/>
    <mergeCell ref="K39:L39"/>
    <mergeCell ref="D41:G41"/>
    <mergeCell ref="D43:M43"/>
    <mergeCell ref="H70:J70"/>
    <mergeCell ref="K70:L70"/>
    <mergeCell ref="D47:M47"/>
    <mergeCell ref="D49:L49"/>
    <mergeCell ref="D51:L51"/>
    <mergeCell ref="D53:L53"/>
    <mergeCell ref="D55:L55"/>
    <mergeCell ref="D57:L57"/>
    <mergeCell ref="D59:L59"/>
    <mergeCell ref="D61:L61"/>
    <mergeCell ref="D63:L63"/>
    <mergeCell ref="D65:L65"/>
    <mergeCell ref="D67:L67"/>
    <mergeCell ref="D94:L94"/>
    <mergeCell ref="D72:G72"/>
    <mergeCell ref="D74:L74"/>
    <mergeCell ref="D76:L76"/>
    <mergeCell ref="D78:L78"/>
    <mergeCell ref="D80:L80"/>
    <mergeCell ref="D82:L82"/>
    <mergeCell ref="D84:L84"/>
    <mergeCell ref="D86:L86"/>
    <mergeCell ref="D88:L88"/>
    <mergeCell ref="D90:L90"/>
    <mergeCell ref="D92:L92"/>
    <mergeCell ref="D117:L117"/>
    <mergeCell ref="D96:L96"/>
    <mergeCell ref="H99:J99"/>
    <mergeCell ref="K99:L99"/>
    <mergeCell ref="D101:G101"/>
    <mergeCell ref="D103:L103"/>
    <mergeCell ref="D105:L105"/>
    <mergeCell ref="D107:L107"/>
    <mergeCell ref="D109:L109"/>
    <mergeCell ref="D111:L111"/>
    <mergeCell ref="D113:L113"/>
    <mergeCell ref="D115:L115"/>
    <mergeCell ref="A129:G129"/>
    <mergeCell ref="A130:G130"/>
    <mergeCell ref="A132:M132"/>
    <mergeCell ref="A133:M133"/>
    <mergeCell ref="D119:L119"/>
    <mergeCell ref="D121:L121"/>
    <mergeCell ref="D123:L123"/>
    <mergeCell ref="D125:L125"/>
    <mergeCell ref="D127:L127"/>
    <mergeCell ref="H128:J128"/>
  </mergeCells>
  <pageMargins left="0.98425196850393704" right="0.39370078740157483" top="0.59055118110236227" bottom="0.59055118110236227" header="0.39370078740157483" footer="0.39370078740157483"/>
  <pageSetup paperSize="9" scale="58" fitToHeight="0" orientation="landscape" r:id="rId1"/>
  <headerFooter>
    <oddFooter>&amp;L&amp;A&amp;Rstran &amp;N / strana &amp;P</oddFooter>
  </headerFooter>
  <rowBreaks count="3" manualBreakCount="3">
    <brk id="37" max="12" man="1"/>
    <brk id="68" max="12" man="1"/>
    <brk id="97" max="12"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8581E-B78A-4B55-AEC0-31B27D564C50}">
  <sheetPr codeName="List2">
    <pageSetUpPr fitToPage="1"/>
  </sheetPr>
  <dimension ref="A1:BV214"/>
  <sheetViews>
    <sheetView view="pageBreakPreview" zoomScale="55" zoomScaleNormal="10" zoomScaleSheetLayoutView="55" workbookViewId="0">
      <pane ySplit="11" topLeftCell="A12" activePane="bottomLeft" state="frozen"/>
      <selection activeCell="D44" sqref="D44"/>
      <selection pane="bottomLeft" activeCell="C28" sqref="C28:M28"/>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85</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1068</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477</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ht="15" customHeight="1" x14ac:dyDescent="0.25">
      <c r="A8" s="327" t="s">
        <v>95</v>
      </c>
      <c r="B8" s="307"/>
      <c r="C8" s="329" t="s">
        <v>478</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130</v>
      </c>
      <c r="C12" s="318" t="s">
        <v>131</v>
      </c>
      <c r="D12" s="319"/>
      <c r="E12" s="99" t="s">
        <v>87</v>
      </c>
      <c r="F12" s="99" t="s">
        <v>87</v>
      </c>
      <c r="G12" s="99" t="s">
        <v>87</v>
      </c>
      <c r="H12" s="100">
        <f>SUM(H13:H13)</f>
        <v>0</v>
      </c>
      <c r="I12" s="100">
        <f>SUM(I13:I13)</f>
        <v>0</v>
      </c>
      <c r="J12" s="100">
        <f>SUM(J13:J13)</f>
        <v>0</v>
      </c>
      <c r="K12" s="101" t="s">
        <v>129</v>
      </c>
      <c r="L12" s="100">
        <f>SUM(L13:L13)</f>
        <v>0</v>
      </c>
      <c r="M12" s="102" t="s">
        <v>129</v>
      </c>
      <c r="AG12" s="71" t="s">
        <v>129</v>
      </c>
      <c r="AQ12" s="67">
        <f>SUM(AH13:AH13)</f>
        <v>0</v>
      </c>
      <c r="AR12" s="67">
        <f>SUM(AI13:AI13)</f>
        <v>0</v>
      </c>
      <c r="AS12" s="67">
        <f>SUM(AJ13:AJ13)</f>
        <v>0</v>
      </c>
    </row>
    <row r="13" spans="1:74" x14ac:dyDescent="0.25">
      <c r="A13" s="92" t="s">
        <v>132</v>
      </c>
      <c r="B13" s="69" t="s">
        <v>133</v>
      </c>
      <c r="C13" s="306" t="s">
        <v>134</v>
      </c>
      <c r="D13" s="307"/>
      <c r="E13" s="69" t="s">
        <v>135</v>
      </c>
      <c r="F13" s="77">
        <v>2</v>
      </c>
      <c r="G13" s="218">
        <v>0</v>
      </c>
      <c r="H13" s="77">
        <f>F13*AM13</f>
        <v>0</v>
      </c>
      <c r="I13" s="77">
        <f>F13*AN13</f>
        <v>0</v>
      </c>
      <c r="J13" s="77">
        <f>F13*G13</f>
        <v>0</v>
      </c>
      <c r="K13" s="77">
        <v>0</v>
      </c>
      <c r="L13" s="77">
        <f>F13*K13</f>
        <v>0</v>
      </c>
      <c r="M13" s="103" t="s">
        <v>129</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21</v>
      </c>
      <c r="AM13" s="77">
        <f>G13*0.125865324</f>
        <v>0</v>
      </c>
      <c r="AN13" s="77">
        <f>G13*(1-0.125865324)</f>
        <v>0</v>
      </c>
      <c r="AO13" s="79" t="s">
        <v>132</v>
      </c>
      <c r="AT13" s="77">
        <f>AU13+AV13</f>
        <v>0</v>
      </c>
      <c r="AU13" s="77">
        <f>F13*AM13</f>
        <v>0</v>
      </c>
      <c r="AV13" s="77">
        <f>F13*AN13</f>
        <v>0</v>
      </c>
      <c r="AW13" s="79" t="s">
        <v>136</v>
      </c>
      <c r="AX13" s="79" t="s">
        <v>136</v>
      </c>
      <c r="AY13" s="71" t="s">
        <v>137</v>
      </c>
      <c r="BA13" s="77">
        <f>AU13+AV13</f>
        <v>0</v>
      </c>
      <c r="BB13" s="77">
        <f>G13/(100-BC13)*100</f>
        <v>0</v>
      </c>
      <c r="BC13" s="77">
        <v>0</v>
      </c>
      <c r="BD13" s="77">
        <f>L13</f>
        <v>0</v>
      </c>
      <c r="BF13" s="77">
        <f>F13*AM13</f>
        <v>0</v>
      </c>
      <c r="BG13" s="77">
        <f>F13*AN13</f>
        <v>0</v>
      </c>
      <c r="BH13" s="77">
        <f>F13*G13</f>
        <v>0</v>
      </c>
      <c r="BI13" s="77"/>
      <c r="BJ13" s="77">
        <v>0</v>
      </c>
      <c r="BU13" s="77" t="e">
        <f>#REF!</f>
        <v>#REF!</v>
      </c>
      <c r="BV13" s="70" t="s">
        <v>134</v>
      </c>
    </row>
    <row r="14" spans="1:74" ht="40.5" customHeight="1" x14ac:dyDescent="0.25">
      <c r="A14" s="104"/>
      <c r="B14" s="81" t="s">
        <v>138</v>
      </c>
      <c r="C14" s="303" t="s">
        <v>139</v>
      </c>
      <c r="D14" s="304"/>
      <c r="E14" s="304"/>
      <c r="F14" s="304"/>
      <c r="G14" s="304"/>
      <c r="H14" s="304"/>
      <c r="I14" s="304"/>
      <c r="J14" s="304"/>
      <c r="K14" s="304"/>
      <c r="L14" s="304"/>
      <c r="M14" s="305"/>
    </row>
    <row r="15" spans="1:74" x14ac:dyDescent="0.25">
      <c r="A15" s="105" t="s">
        <v>129</v>
      </c>
      <c r="B15" s="74" t="s">
        <v>479</v>
      </c>
      <c r="C15" s="314" t="s">
        <v>336</v>
      </c>
      <c r="D15" s="315"/>
      <c r="E15" s="75" t="s">
        <v>87</v>
      </c>
      <c r="F15" s="75" t="s">
        <v>87</v>
      </c>
      <c r="G15" s="75" t="s">
        <v>87</v>
      </c>
      <c r="H15" s="67">
        <f>SUM(H16:H16)</f>
        <v>0</v>
      </c>
      <c r="I15" s="67">
        <f>SUM(I16:I16)</f>
        <v>0</v>
      </c>
      <c r="J15" s="67">
        <f>SUM(J16:J16)</f>
        <v>0</v>
      </c>
      <c r="K15" s="71" t="s">
        <v>129</v>
      </c>
      <c r="L15" s="67">
        <f>SUM(L16:L16)</f>
        <v>0.02</v>
      </c>
      <c r="M15" s="106" t="s">
        <v>129</v>
      </c>
      <c r="AG15" s="71" t="s">
        <v>129</v>
      </c>
      <c r="AQ15" s="67">
        <f>SUM(AH16:AH16)</f>
        <v>0</v>
      </c>
      <c r="AR15" s="67">
        <f>SUM(AI16:AI16)</f>
        <v>0</v>
      </c>
      <c r="AS15" s="67">
        <f>SUM(AJ16:AJ16)</f>
        <v>0</v>
      </c>
    </row>
    <row r="16" spans="1:74" x14ac:dyDescent="0.25">
      <c r="A16" s="92" t="s">
        <v>142</v>
      </c>
      <c r="B16" s="69" t="s">
        <v>480</v>
      </c>
      <c r="C16" s="306" t="s">
        <v>481</v>
      </c>
      <c r="D16" s="307"/>
      <c r="E16" s="69" t="s">
        <v>482</v>
      </c>
      <c r="F16" s="77">
        <v>2</v>
      </c>
      <c r="G16" s="218">
        <v>0</v>
      </c>
      <c r="H16" s="77">
        <f>F16*AM16</f>
        <v>0</v>
      </c>
      <c r="I16" s="77">
        <f>F16*AN16</f>
        <v>0</v>
      </c>
      <c r="J16" s="77">
        <f>F16*G16</f>
        <v>0</v>
      </c>
      <c r="K16" s="77">
        <v>0.01</v>
      </c>
      <c r="L16" s="77">
        <f>F16*K16</f>
        <v>0.02</v>
      </c>
      <c r="M16" s="103" t="s">
        <v>35</v>
      </c>
      <c r="X16" s="77">
        <f>IF(AO16="5",BH16,0)</f>
        <v>0</v>
      </c>
      <c r="Z16" s="77">
        <f>IF(AO16="1",BF16,0)</f>
        <v>0</v>
      </c>
      <c r="AA16" s="77">
        <f>IF(AO16="1",BG16,0)</f>
        <v>0</v>
      </c>
      <c r="AB16" s="77">
        <f>IF(AO16="7",BF16,0)</f>
        <v>0</v>
      </c>
      <c r="AC16" s="77">
        <f>IF(AO16="7",BG16,0)</f>
        <v>0</v>
      </c>
      <c r="AD16" s="77">
        <f>IF(AO16="2",BF16,0)</f>
        <v>0</v>
      </c>
      <c r="AE16" s="77">
        <f>IF(AO16="2",BG16,0)</f>
        <v>0</v>
      </c>
      <c r="AF16" s="77">
        <f>IF(AO16="0",BH16,0)</f>
        <v>0</v>
      </c>
      <c r="AG16" s="71" t="s">
        <v>129</v>
      </c>
      <c r="AH16" s="77">
        <f>IF(AL16=0,J16,0)</f>
        <v>0</v>
      </c>
      <c r="AI16" s="77">
        <f>IF(AL16=15,J16,0)</f>
        <v>0</v>
      </c>
      <c r="AJ16" s="77">
        <f>IF(AL16=21,J16,0)</f>
        <v>0</v>
      </c>
      <c r="AL16" s="77">
        <v>21</v>
      </c>
      <c r="AM16" s="77">
        <f>G16*0.275766017</f>
        <v>0</v>
      </c>
      <c r="AN16" s="77">
        <f>G16*(1-0.275766017)</f>
        <v>0</v>
      </c>
      <c r="AO16" s="79" t="s">
        <v>132</v>
      </c>
      <c r="AT16" s="77">
        <f>AU16+AV16</f>
        <v>0</v>
      </c>
      <c r="AU16" s="77">
        <f>F16*AM16</f>
        <v>0</v>
      </c>
      <c r="AV16" s="77">
        <f>F16*AN16</f>
        <v>0</v>
      </c>
      <c r="AW16" s="79" t="s">
        <v>483</v>
      </c>
      <c r="AX16" s="79" t="s">
        <v>136</v>
      </c>
      <c r="AY16" s="71" t="s">
        <v>137</v>
      </c>
      <c r="BA16" s="77">
        <f>AU16+AV16</f>
        <v>0</v>
      </c>
      <c r="BB16" s="77">
        <f>G16/(100-BC16)*100</f>
        <v>0</v>
      </c>
      <c r="BC16" s="77">
        <v>0</v>
      </c>
      <c r="BD16" s="77">
        <f>L16</f>
        <v>0.02</v>
      </c>
      <c r="BF16" s="77">
        <f>F16*AM16</f>
        <v>0</v>
      </c>
      <c r="BG16" s="77">
        <f>F16*AN16</f>
        <v>0</v>
      </c>
      <c r="BH16" s="77">
        <f>F16*G16</f>
        <v>0</v>
      </c>
      <c r="BI16" s="77"/>
      <c r="BJ16" s="77"/>
      <c r="BU16" s="77" t="e">
        <f>#REF!</f>
        <v>#REF!</v>
      </c>
      <c r="BV16" s="70" t="s">
        <v>481</v>
      </c>
    </row>
    <row r="17" spans="1:74" ht="40.5" customHeight="1" x14ac:dyDescent="0.25">
      <c r="A17" s="104"/>
      <c r="B17" s="81" t="s">
        <v>138</v>
      </c>
      <c r="C17" s="303" t="s">
        <v>484</v>
      </c>
      <c r="D17" s="304"/>
      <c r="E17" s="304"/>
      <c r="F17" s="304"/>
      <c r="G17" s="304"/>
      <c r="H17" s="304"/>
      <c r="I17" s="304"/>
      <c r="J17" s="304"/>
      <c r="K17" s="304"/>
      <c r="L17" s="304"/>
      <c r="M17" s="305"/>
    </row>
    <row r="18" spans="1:74" x14ac:dyDescent="0.25">
      <c r="A18" s="105" t="s">
        <v>129</v>
      </c>
      <c r="B18" s="74" t="s">
        <v>140</v>
      </c>
      <c r="C18" s="314" t="s">
        <v>141</v>
      </c>
      <c r="D18" s="315"/>
      <c r="E18" s="75" t="s">
        <v>87</v>
      </c>
      <c r="F18" s="75" t="s">
        <v>87</v>
      </c>
      <c r="G18" s="75" t="s">
        <v>87</v>
      </c>
      <c r="H18" s="67">
        <f>SUM(H19:H29)</f>
        <v>0</v>
      </c>
      <c r="I18" s="67">
        <f>SUM(I19:I29)</f>
        <v>0</v>
      </c>
      <c r="J18" s="67">
        <f>SUM(J19:J29)</f>
        <v>0</v>
      </c>
      <c r="K18" s="71" t="s">
        <v>129</v>
      </c>
      <c r="L18" s="67">
        <f>SUM(L19:L29)</f>
        <v>171.54835500000002</v>
      </c>
      <c r="M18" s="106" t="s">
        <v>129</v>
      </c>
      <c r="AG18" s="71" t="s">
        <v>129</v>
      </c>
      <c r="AQ18" s="67">
        <f>SUM(AH19:AH29)</f>
        <v>0</v>
      </c>
      <c r="AR18" s="67">
        <f>SUM(AI19:AI29)</f>
        <v>0</v>
      </c>
      <c r="AS18" s="67">
        <f>SUM(AJ19:AJ29)</f>
        <v>0</v>
      </c>
    </row>
    <row r="19" spans="1:74" x14ac:dyDescent="0.25">
      <c r="A19" s="92" t="s">
        <v>149</v>
      </c>
      <c r="B19" s="69" t="s">
        <v>150</v>
      </c>
      <c r="C19" s="306" t="s">
        <v>151</v>
      </c>
      <c r="D19" s="307"/>
      <c r="E19" s="69" t="s">
        <v>145</v>
      </c>
      <c r="F19" s="77">
        <v>12.51</v>
      </c>
      <c r="G19" s="218">
        <v>0</v>
      </c>
      <c r="H19" s="77">
        <f>F19*AM19</f>
        <v>0</v>
      </c>
      <c r="I19" s="77">
        <f>F19*AN19</f>
        <v>0</v>
      </c>
      <c r="J19" s="77">
        <f>F19*G19</f>
        <v>0</v>
      </c>
      <c r="K19" s="77">
        <v>2.478E-2</v>
      </c>
      <c r="L19" s="77">
        <f>F19*K19</f>
        <v>0.30999779999999999</v>
      </c>
      <c r="M19" s="103" t="s">
        <v>35</v>
      </c>
      <c r="X19" s="77">
        <f>IF(AO19="5",BH19,0)</f>
        <v>0</v>
      </c>
      <c r="Z19" s="77">
        <f>IF(AO19="1",BF19,0)</f>
        <v>0</v>
      </c>
      <c r="AA19" s="77">
        <f>IF(AO19="1",BG19,0)</f>
        <v>0</v>
      </c>
      <c r="AB19" s="77">
        <f>IF(AO19="7",BF19,0)</f>
        <v>0</v>
      </c>
      <c r="AC19" s="77">
        <f>IF(AO19="7",BG19,0)</f>
        <v>0</v>
      </c>
      <c r="AD19" s="77">
        <f>IF(AO19="2",BF19,0)</f>
        <v>0</v>
      </c>
      <c r="AE19" s="77">
        <f>IF(AO19="2",BG19,0)</f>
        <v>0</v>
      </c>
      <c r="AF19" s="77">
        <f>IF(AO19="0",BH19,0)</f>
        <v>0</v>
      </c>
      <c r="AG19" s="71" t="s">
        <v>129</v>
      </c>
      <c r="AH19" s="77">
        <f>IF(AL19=0,J19,0)</f>
        <v>0</v>
      </c>
      <c r="AI19" s="77">
        <f>IF(AL19=15,J19,0)</f>
        <v>0</v>
      </c>
      <c r="AJ19" s="77">
        <f>IF(AL19=21,J19,0)</f>
        <v>0</v>
      </c>
      <c r="AL19" s="77">
        <v>21</v>
      </c>
      <c r="AM19" s="77">
        <f>G19*0.057576051</f>
        <v>0</v>
      </c>
      <c r="AN19" s="77">
        <f>G19*(1-0.057576051)</f>
        <v>0</v>
      </c>
      <c r="AO19" s="79" t="s">
        <v>132</v>
      </c>
      <c r="AT19" s="77">
        <f>AU19+AV19</f>
        <v>0</v>
      </c>
      <c r="AU19" s="77">
        <f>F19*AM19</f>
        <v>0</v>
      </c>
      <c r="AV19" s="77">
        <f>F19*AN19</f>
        <v>0</v>
      </c>
      <c r="AW19" s="79" t="s">
        <v>146</v>
      </c>
      <c r="AX19" s="79" t="s">
        <v>147</v>
      </c>
      <c r="AY19" s="71" t="s">
        <v>137</v>
      </c>
      <c r="BA19" s="77">
        <f>AU19+AV19</f>
        <v>0</v>
      </c>
      <c r="BB19" s="77">
        <f>G19/(100-BC19)*100</f>
        <v>0</v>
      </c>
      <c r="BC19" s="77">
        <v>0</v>
      </c>
      <c r="BD19" s="77">
        <f>L19</f>
        <v>0.30999779999999999</v>
      </c>
      <c r="BF19" s="77">
        <f>F19*AM19</f>
        <v>0</v>
      </c>
      <c r="BG19" s="77">
        <f>F19*AN19</f>
        <v>0</v>
      </c>
      <c r="BH19" s="77">
        <f>F19*G19</f>
        <v>0</v>
      </c>
      <c r="BI19" s="77"/>
      <c r="BJ19" s="77">
        <v>11</v>
      </c>
      <c r="BU19" s="77" t="e">
        <f>#REF!</f>
        <v>#REF!</v>
      </c>
      <c r="BV19" s="70" t="s">
        <v>151</v>
      </c>
    </row>
    <row r="20" spans="1:74" ht="40.5" customHeight="1" x14ac:dyDescent="0.25">
      <c r="A20" s="104"/>
      <c r="B20" s="81" t="s">
        <v>138</v>
      </c>
      <c r="C20" s="303" t="s">
        <v>485</v>
      </c>
      <c r="D20" s="304"/>
      <c r="E20" s="304"/>
      <c r="F20" s="304"/>
      <c r="G20" s="304"/>
      <c r="H20" s="304"/>
      <c r="I20" s="304"/>
      <c r="J20" s="304"/>
      <c r="K20" s="304"/>
      <c r="L20" s="304"/>
      <c r="M20" s="305"/>
    </row>
    <row r="21" spans="1:74" x14ac:dyDescent="0.25">
      <c r="A21" s="92" t="s">
        <v>153</v>
      </c>
      <c r="B21" s="69" t="s">
        <v>143</v>
      </c>
      <c r="C21" s="306" t="s">
        <v>144</v>
      </c>
      <c r="D21" s="307"/>
      <c r="E21" s="69" t="s">
        <v>145</v>
      </c>
      <c r="F21" s="77">
        <v>2.78</v>
      </c>
      <c r="G21" s="218">
        <v>0</v>
      </c>
      <c r="H21" s="77">
        <f>F21*AM21</f>
        <v>0</v>
      </c>
      <c r="I21" s="77">
        <f>F21*AN21</f>
        <v>0</v>
      </c>
      <c r="J21" s="77">
        <f>F21*G21</f>
        <v>0</v>
      </c>
      <c r="K21" s="77">
        <v>8.6899999999999998E-3</v>
      </c>
      <c r="L21" s="77">
        <f>F21*K21</f>
        <v>2.4158199999999998E-2</v>
      </c>
      <c r="M21" s="103" t="s">
        <v>35</v>
      </c>
      <c r="X21" s="77">
        <f>IF(AO21="5",BH21,0)</f>
        <v>0</v>
      </c>
      <c r="Z21" s="77">
        <f>IF(AO21="1",BF21,0)</f>
        <v>0</v>
      </c>
      <c r="AA21" s="77">
        <f>IF(AO21="1",BG21,0)</f>
        <v>0</v>
      </c>
      <c r="AB21" s="77">
        <f>IF(AO21="7",BF21,0)</f>
        <v>0</v>
      </c>
      <c r="AC21" s="77">
        <f>IF(AO21="7",BG21,0)</f>
        <v>0</v>
      </c>
      <c r="AD21" s="77">
        <f>IF(AO21="2",BF21,0)</f>
        <v>0</v>
      </c>
      <c r="AE21" s="77">
        <f>IF(AO21="2",BG21,0)</f>
        <v>0</v>
      </c>
      <c r="AF21" s="77">
        <f>IF(AO21="0",BH21,0)</f>
        <v>0</v>
      </c>
      <c r="AG21" s="71" t="s">
        <v>129</v>
      </c>
      <c r="AH21" s="77">
        <f>IF(AL21=0,J21,0)</f>
        <v>0</v>
      </c>
      <c r="AI21" s="77">
        <f>IF(AL21=15,J21,0)</f>
        <v>0</v>
      </c>
      <c r="AJ21" s="77">
        <f>IF(AL21=21,J21,0)</f>
        <v>0</v>
      </c>
      <c r="AL21" s="77">
        <v>21</v>
      </c>
      <c r="AM21" s="77">
        <f>G21*0.061949274</f>
        <v>0</v>
      </c>
      <c r="AN21" s="77">
        <f>G21*(1-0.061949274)</f>
        <v>0</v>
      </c>
      <c r="AO21" s="79" t="s">
        <v>132</v>
      </c>
      <c r="AT21" s="77">
        <f>AU21+AV21</f>
        <v>0</v>
      </c>
      <c r="AU21" s="77">
        <f>F21*AM21</f>
        <v>0</v>
      </c>
      <c r="AV21" s="77">
        <f>F21*AN21</f>
        <v>0</v>
      </c>
      <c r="AW21" s="79" t="s">
        <v>146</v>
      </c>
      <c r="AX21" s="79" t="s">
        <v>147</v>
      </c>
      <c r="AY21" s="71" t="s">
        <v>137</v>
      </c>
      <c r="BA21" s="77">
        <f>AU21+AV21</f>
        <v>0</v>
      </c>
      <c r="BB21" s="77">
        <f>G21/(100-BC21)*100</f>
        <v>0</v>
      </c>
      <c r="BC21" s="77">
        <v>0</v>
      </c>
      <c r="BD21" s="77">
        <f>L21</f>
        <v>2.4158199999999998E-2</v>
      </c>
      <c r="BF21" s="77">
        <f>F21*AM21</f>
        <v>0</v>
      </c>
      <c r="BG21" s="77">
        <f>F21*AN21</f>
        <v>0</v>
      </c>
      <c r="BH21" s="77">
        <f>F21*G21</f>
        <v>0</v>
      </c>
      <c r="BI21" s="77"/>
      <c r="BJ21" s="77">
        <v>11</v>
      </c>
      <c r="BU21" s="77" t="e">
        <f>#REF!</f>
        <v>#REF!</v>
      </c>
      <c r="BV21" s="70" t="s">
        <v>144</v>
      </c>
    </row>
    <row r="22" spans="1:74" ht="40.5" customHeight="1" x14ac:dyDescent="0.25">
      <c r="A22" s="104"/>
      <c r="B22" s="81" t="s">
        <v>138</v>
      </c>
      <c r="C22" s="303" t="s">
        <v>486</v>
      </c>
      <c r="D22" s="304"/>
      <c r="E22" s="304"/>
      <c r="F22" s="304"/>
      <c r="G22" s="304"/>
      <c r="H22" s="304"/>
      <c r="I22" s="304"/>
      <c r="J22" s="304"/>
      <c r="K22" s="304"/>
      <c r="L22" s="304"/>
      <c r="M22" s="305"/>
    </row>
    <row r="23" spans="1:74" x14ac:dyDescent="0.25">
      <c r="A23" s="92" t="s">
        <v>158</v>
      </c>
      <c r="B23" s="69" t="s">
        <v>487</v>
      </c>
      <c r="C23" s="306" t="s">
        <v>488</v>
      </c>
      <c r="D23" s="307"/>
      <c r="E23" s="69" t="s">
        <v>156</v>
      </c>
      <c r="F23" s="77">
        <v>16</v>
      </c>
      <c r="G23" s="218">
        <v>0</v>
      </c>
      <c r="H23" s="77">
        <f>F23*AM23</f>
        <v>0</v>
      </c>
      <c r="I23" s="77">
        <f>F23*AN23</f>
        <v>0</v>
      </c>
      <c r="J23" s="77">
        <f>F23*G23</f>
        <v>0</v>
      </c>
      <c r="K23" s="77">
        <v>0</v>
      </c>
      <c r="L23" s="77">
        <f>F23*K23</f>
        <v>0</v>
      </c>
      <c r="M23" s="103" t="s">
        <v>35</v>
      </c>
      <c r="X23" s="77">
        <f>IF(AO23="5",BH23,0)</f>
        <v>0</v>
      </c>
      <c r="Z23" s="77">
        <f>IF(AO23="1",BF23,0)</f>
        <v>0</v>
      </c>
      <c r="AA23" s="77">
        <f>IF(AO23="1",BG23,0)</f>
        <v>0</v>
      </c>
      <c r="AB23" s="77">
        <f>IF(AO23="7",BF23,0)</f>
        <v>0</v>
      </c>
      <c r="AC23" s="77">
        <f>IF(AO23="7",BG23,0)</f>
        <v>0</v>
      </c>
      <c r="AD23" s="77">
        <f>IF(AO23="2",BF23,0)</f>
        <v>0</v>
      </c>
      <c r="AE23" s="77">
        <f>IF(AO23="2",BG23,0)</f>
        <v>0</v>
      </c>
      <c r="AF23" s="77">
        <f>IF(AO23="0",BH23,0)</f>
        <v>0</v>
      </c>
      <c r="AG23" s="71" t="s">
        <v>129</v>
      </c>
      <c r="AH23" s="77">
        <f>IF(AL23=0,J23,0)</f>
        <v>0</v>
      </c>
      <c r="AI23" s="77">
        <f>IF(AL23=15,J23,0)</f>
        <v>0</v>
      </c>
      <c r="AJ23" s="77">
        <f>IF(AL23=21,J23,0)</f>
        <v>0</v>
      </c>
      <c r="AL23" s="77">
        <v>21</v>
      </c>
      <c r="AM23" s="77">
        <f>G23*0</f>
        <v>0</v>
      </c>
      <c r="AN23" s="77">
        <f>G23*(1-0)</f>
        <v>0</v>
      </c>
      <c r="AO23" s="79" t="s">
        <v>132</v>
      </c>
      <c r="AT23" s="77">
        <f>AU23+AV23</f>
        <v>0</v>
      </c>
      <c r="AU23" s="77">
        <f>F23*AM23</f>
        <v>0</v>
      </c>
      <c r="AV23" s="77">
        <f>F23*AN23</f>
        <v>0</v>
      </c>
      <c r="AW23" s="79" t="s">
        <v>146</v>
      </c>
      <c r="AX23" s="79" t="s">
        <v>147</v>
      </c>
      <c r="AY23" s="71" t="s">
        <v>137</v>
      </c>
      <c r="BA23" s="77">
        <f>AU23+AV23</f>
        <v>0</v>
      </c>
      <c r="BB23" s="77">
        <f>G23/(100-BC23)*100</f>
        <v>0</v>
      </c>
      <c r="BC23" s="77">
        <v>0</v>
      </c>
      <c r="BD23" s="77">
        <f>L23</f>
        <v>0</v>
      </c>
      <c r="BF23" s="77">
        <f>F23*AM23</f>
        <v>0</v>
      </c>
      <c r="BG23" s="77">
        <f>F23*AN23</f>
        <v>0</v>
      </c>
      <c r="BH23" s="77">
        <f>F23*G23</f>
        <v>0</v>
      </c>
      <c r="BI23" s="77"/>
      <c r="BJ23" s="77">
        <v>11</v>
      </c>
      <c r="BU23" s="77" t="e">
        <f>#REF!</f>
        <v>#REF!</v>
      </c>
      <c r="BV23" s="70" t="s">
        <v>488</v>
      </c>
    </row>
    <row r="24" spans="1:74" ht="40.5" customHeight="1" x14ac:dyDescent="0.25">
      <c r="A24" s="104"/>
      <c r="B24" s="81" t="s">
        <v>138</v>
      </c>
      <c r="C24" s="303" t="s">
        <v>489</v>
      </c>
      <c r="D24" s="304"/>
      <c r="E24" s="304"/>
      <c r="F24" s="304"/>
      <c r="G24" s="304"/>
      <c r="H24" s="304"/>
      <c r="I24" s="304"/>
      <c r="J24" s="304"/>
      <c r="K24" s="304"/>
      <c r="L24" s="304"/>
      <c r="M24" s="305"/>
    </row>
    <row r="25" spans="1:74" x14ac:dyDescent="0.25">
      <c r="A25" s="92" t="s">
        <v>163</v>
      </c>
      <c r="B25" s="69" t="s">
        <v>490</v>
      </c>
      <c r="C25" s="306" t="s">
        <v>491</v>
      </c>
      <c r="D25" s="307"/>
      <c r="E25" s="69" t="s">
        <v>161</v>
      </c>
      <c r="F25" s="77">
        <v>2</v>
      </c>
      <c r="G25" s="218">
        <v>0</v>
      </c>
      <c r="H25" s="77">
        <f>F25*AM25</f>
        <v>0</v>
      </c>
      <c r="I25" s="77">
        <f>F25*AN25</f>
        <v>0</v>
      </c>
      <c r="J25" s="77">
        <f>F25*G25</f>
        <v>0</v>
      </c>
      <c r="K25" s="77">
        <v>0</v>
      </c>
      <c r="L25" s="77">
        <f>F25*K25</f>
        <v>0</v>
      </c>
      <c r="M25" s="103" t="s">
        <v>35</v>
      </c>
      <c r="X25" s="77">
        <f>IF(AO25="5",BH25,0)</f>
        <v>0</v>
      </c>
      <c r="Z25" s="77">
        <f>IF(AO25="1",BF25,0)</f>
        <v>0</v>
      </c>
      <c r="AA25" s="77">
        <f>IF(AO25="1",BG25,0)</f>
        <v>0</v>
      </c>
      <c r="AB25" s="77">
        <f>IF(AO25="7",BF25,0)</f>
        <v>0</v>
      </c>
      <c r="AC25" s="77">
        <f>IF(AO25="7",BG25,0)</f>
        <v>0</v>
      </c>
      <c r="AD25" s="77">
        <f>IF(AO25="2",BF25,0)</f>
        <v>0</v>
      </c>
      <c r="AE25" s="77">
        <f>IF(AO25="2",BG25,0)</f>
        <v>0</v>
      </c>
      <c r="AF25" s="77">
        <f>IF(AO25="0",BH25,0)</f>
        <v>0</v>
      </c>
      <c r="AG25" s="71" t="s">
        <v>129</v>
      </c>
      <c r="AH25" s="77">
        <f>IF(AL25=0,J25,0)</f>
        <v>0</v>
      </c>
      <c r="AI25" s="77">
        <f>IF(AL25=15,J25,0)</f>
        <v>0</v>
      </c>
      <c r="AJ25" s="77">
        <f>IF(AL25=21,J25,0)</f>
        <v>0</v>
      </c>
      <c r="AL25" s="77">
        <v>21</v>
      </c>
      <c r="AM25" s="77">
        <f>G25*0</f>
        <v>0</v>
      </c>
      <c r="AN25" s="77">
        <f>G25*(1-0)</f>
        <v>0</v>
      </c>
      <c r="AO25" s="79" t="s">
        <v>132</v>
      </c>
      <c r="AT25" s="77">
        <f>AU25+AV25</f>
        <v>0</v>
      </c>
      <c r="AU25" s="77">
        <f>F25*AM25</f>
        <v>0</v>
      </c>
      <c r="AV25" s="77">
        <f>F25*AN25</f>
        <v>0</v>
      </c>
      <c r="AW25" s="79" t="s">
        <v>146</v>
      </c>
      <c r="AX25" s="79" t="s">
        <v>147</v>
      </c>
      <c r="AY25" s="71" t="s">
        <v>137</v>
      </c>
      <c r="BA25" s="77">
        <f>AU25+AV25</f>
        <v>0</v>
      </c>
      <c r="BB25" s="77">
        <f>G25/(100-BC25)*100</f>
        <v>0</v>
      </c>
      <c r="BC25" s="77">
        <v>0</v>
      </c>
      <c r="BD25" s="77">
        <f>L25</f>
        <v>0</v>
      </c>
      <c r="BF25" s="77">
        <f>F25*AM25</f>
        <v>0</v>
      </c>
      <c r="BG25" s="77">
        <f>F25*AN25</f>
        <v>0</v>
      </c>
      <c r="BH25" s="77">
        <f>F25*G25</f>
        <v>0</v>
      </c>
      <c r="BI25" s="77"/>
      <c r="BJ25" s="77">
        <v>11</v>
      </c>
      <c r="BU25" s="77" t="e">
        <f>#REF!</f>
        <v>#REF!</v>
      </c>
      <c r="BV25" s="70" t="s">
        <v>491</v>
      </c>
    </row>
    <row r="26" spans="1:74" ht="40.5" customHeight="1" x14ac:dyDescent="0.25">
      <c r="A26" s="104"/>
      <c r="B26" s="81" t="s">
        <v>138</v>
      </c>
      <c r="C26" s="303" t="s">
        <v>492</v>
      </c>
      <c r="D26" s="304"/>
      <c r="E26" s="304"/>
      <c r="F26" s="304"/>
      <c r="G26" s="304"/>
      <c r="H26" s="304"/>
      <c r="I26" s="304"/>
      <c r="J26" s="304"/>
      <c r="K26" s="304"/>
      <c r="L26" s="304"/>
      <c r="M26" s="305"/>
    </row>
    <row r="27" spans="1:74" x14ac:dyDescent="0.25">
      <c r="A27" s="92" t="s">
        <v>168</v>
      </c>
      <c r="B27" s="69" t="s">
        <v>493</v>
      </c>
      <c r="C27" s="306" t="s">
        <v>494</v>
      </c>
      <c r="D27" s="307"/>
      <c r="E27" s="69" t="s">
        <v>166</v>
      </c>
      <c r="F27" s="77">
        <v>140.99</v>
      </c>
      <c r="G27" s="218">
        <v>0</v>
      </c>
      <c r="H27" s="77">
        <f>F27*AM27</f>
        <v>0</v>
      </c>
      <c r="I27" s="77">
        <f>F27*AN27</f>
        <v>0</v>
      </c>
      <c r="J27" s="77">
        <f>F27*G27</f>
        <v>0</v>
      </c>
      <c r="K27" s="77">
        <v>0.90010000000000001</v>
      </c>
      <c r="L27" s="77">
        <f>F27*K27</f>
        <v>126.90509900000001</v>
      </c>
      <c r="M27" s="103"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21</v>
      </c>
      <c r="AM27" s="77">
        <f>G27*0.006611208</f>
        <v>0</v>
      </c>
      <c r="AN27" s="77">
        <f>G27*(1-0.006611208)</f>
        <v>0</v>
      </c>
      <c r="AO27" s="79" t="s">
        <v>132</v>
      </c>
      <c r="AT27" s="77">
        <f>AU27+AV27</f>
        <v>0</v>
      </c>
      <c r="AU27" s="77">
        <f>F27*AM27</f>
        <v>0</v>
      </c>
      <c r="AV27" s="77">
        <f>F27*AN27</f>
        <v>0</v>
      </c>
      <c r="AW27" s="79" t="s">
        <v>146</v>
      </c>
      <c r="AX27" s="79" t="s">
        <v>147</v>
      </c>
      <c r="AY27" s="71" t="s">
        <v>137</v>
      </c>
      <c r="BA27" s="77">
        <f>AU27+AV27</f>
        <v>0</v>
      </c>
      <c r="BB27" s="77">
        <f>G27/(100-BC27)*100</f>
        <v>0</v>
      </c>
      <c r="BC27" s="77">
        <v>0</v>
      </c>
      <c r="BD27" s="77">
        <f>L27</f>
        <v>126.90509900000001</v>
      </c>
      <c r="BF27" s="77">
        <f>F27*AM27</f>
        <v>0</v>
      </c>
      <c r="BG27" s="77">
        <f>F27*AN27</f>
        <v>0</v>
      </c>
      <c r="BH27" s="77">
        <f>F27*G27</f>
        <v>0</v>
      </c>
      <c r="BI27" s="77"/>
      <c r="BJ27" s="77">
        <v>11</v>
      </c>
      <c r="BU27" s="77" t="e">
        <f>#REF!</f>
        <v>#REF!</v>
      </c>
      <c r="BV27" s="70" t="s">
        <v>494</v>
      </c>
    </row>
    <row r="28" spans="1:74" ht="162" customHeight="1" x14ac:dyDescent="0.25">
      <c r="A28" s="104"/>
      <c r="B28" s="81" t="s">
        <v>138</v>
      </c>
      <c r="C28" s="303" t="s">
        <v>495</v>
      </c>
      <c r="D28" s="304"/>
      <c r="E28" s="304"/>
      <c r="F28" s="304"/>
      <c r="G28" s="304"/>
      <c r="H28" s="304"/>
      <c r="I28" s="304"/>
      <c r="J28" s="304"/>
      <c r="K28" s="304"/>
      <c r="L28" s="304"/>
      <c r="M28" s="305"/>
    </row>
    <row r="29" spans="1:74" x14ac:dyDescent="0.25">
      <c r="A29" s="92" t="s">
        <v>174</v>
      </c>
      <c r="B29" s="69" t="s">
        <v>169</v>
      </c>
      <c r="C29" s="306" t="s">
        <v>170</v>
      </c>
      <c r="D29" s="307"/>
      <c r="E29" s="69" t="s">
        <v>166</v>
      </c>
      <c r="F29" s="77">
        <v>134.27000000000001</v>
      </c>
      <c r="G29" s="218">
        <v>0</v>
      </c>
      <c r="H29" s="77">
        <f>F29*AM29</f>
        <v>0</v>
      </c>
      <c r="I29" s="77">
        <f>F29*AN29</f>
        <v>0</v>
      </c>
      <c r="J29" s="77">
        <f>F29*G29</f>
        <v>0</v>
      </c>
      <c r="K29" s="77">
        <v>0.33</v>
      </c>
      <c r="L29" s="77">
        <f>F29*K29</f>
        <v>44.309100000000008</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21</v>
      </c>
      <c r="AM29" s="77">
        <f>G29*0</f>
        <v>0</v>
      </c>
      <c r="AN29" s="77">
        <f>G29*(1-0)</f>
        <v>0</v>
      </c>
      <c r="AO29" s="79" t="s">
        <v>132</v>
      </c>
      <c r="AT29" s="77">
        <f>AU29+AV29</f>
        <v>0</v>
      </c>
      <c r="AU29" s="77">
        <f>F29*AM29</f>
        <v>0</v>
      </c>
      <c r="AV29" s="77">
        <f>F29*AN29</f>
        <v>0</v>
      </c>
      <c r="AW29" s="79" t="s">
        <v>146</v>
      </c>
      <c r="AX29" s="79" t="s">
        <v>147</v>
      </c>
      <c r="AY29" s="71" t="s">
        <v>137</v>
      </c>
      <c r="BA29" s="77">
        <f>AU29+AV29</f>
        <v>0</v>
      </c>
      <c r="BB29" s="77">
        <f>G29/(100-BC29)*100</f>
        <v>0</v>
      </c>
      <c r="BC29" s="77">
        <v>0</v>
      </c>
      <c r="BD29" s="77">
        <f>L29</f>
        <v>44.309100000000008</v>
      </c>
      <c r="BF29" s="77">
        <f>F29*AM29</f>
        <v>0</v>
      </c>
      <c r="BG29" s="77">
        <f>F29*AN29</f>
        <v>0</v>
      </c>
      <c r="BH29" s="77">
        <f>F29*G29</f>
        <v>0</v>
      </c>
      <c r="BI29" s="77"/>
      <c r="BJ29" s="77">
        <v>11</v>
      </c>
      <c r="BU29" s="77" t="e">
        <f>#REF!</f>
        <v>#REF!</v>
      </c>
      <c r="BV29" s="70" t="s">
        <v>170</v>
      </c>
    </row>
    <row r="30" spans="1:74" ht="67.5" customHeight="1" x14ac:dyDescent="0.25">
      <c r="A30" s="104"/>
      <c r="B30" s="81" t="s">
        <v>138</v>
      </c>
      <c r="C30" s="303" t="s">
        <v>496</v>
      </c>
      <c r="D30" s="304"/>
      <c r="E30" s="304"/>
      <c r="F30" s="304"/>
      <c r="G30" s="304"/>
      <c r="H30" s="304"/>
      <c r="I30" s="304"/>
      <c r="J30" s="304"/>
      <c r="K30" s="304"/>
      <c r="L30" s="304"/>
      <c r="M30" s="305"/>
    </row>
    <row r="31" spans="1:74" x14ac:dyDescent="0.25">
      <c r="A31" s="105" t="s">
        <v>129</v>
      </c>
      <c r="B31" s="74" t="s">
        <v>172</v>
      </c>
      <c r="C31" s="314" t="s">
        <v>173</v>
      </c>
      <c r="D31" s="315"/>
      <c r="E31" s="75" t="s">
        <v>87</v>
      </c>
      <c r="F31" s="75" t="s">
        <v>87</v>
      </c>
      <c r="G31" s="75" t="s">
        <v>87</v>
      </c>
      <c r="H31" s="67">
        <f>SUM(H32:H32)</f>
        <v>0</v>
      </c>
      <c r="I31" s="67">
        <f>SUM(I32:I32)</f>
        <v>0</v>
      </c>
      <c r="J31" s="67">
        <f>SUM(J32:J32)</f>
        <v>0</v>
      </c>
      <c r="K31" s="71" t="s">
        <v>129</v>
      </c>
      <c r="L31" s="67">
        <f>SUM(L32:L32)</f>
        <v>0</v>
      </c>
      <c r="M31" s="106" t="s">
        <v>129</v>
      </c>
      <c r="AG31" s="71" t="s">
        <v>129</v>
      </c>
      <c r="AQ31" s="67">
        <f>SUM(AH32:AH32)</f>
        <v>0</v>
      </c>
      <c r="AR31" s="67">
        <f>SUM(AI32:AI32)</f>
        <v>0</v>
      </c>
      <c r="AS31" s="67">
        <f>SUM(AJ32:AJ32)</f>
        <v>0</v>
      </c>
    </row>
    <row r="32" spans="1:74" x14ac:dyDescent="0.25">
      <c r="A32" s="92" t="s">
        <v>182</v>
      </c>
      <c r="B32" s="69" t="s">
        <v>175</v>
      </c>
      <c r="C32" s="306" t="s">
        <v>176</v>
      </c>
      <c r="D32" s="307"/>
      <c r="E32" s="69" t="s">
        <v>177</v>
      </c>
      <c r="F32" s="77">
        <v>5</v>
      </c>
      <c r="G32" s="218">
        <v>0</v>
      </c>
      <c r="H32" s="77">
        <f>F32*AM32</f>
        <v>0</v>
      </c>
      <c r="I32" s="77">
        <f>F32*AN32</f>
        <v>0</v>
      </c>
      <c r="J32" s="77">
        <f>F32*G32</f>
        <v>0</v>
      </c>
      <c r="K32" s="77">
        <v>0</v>
      </c>
      <c r="L32" s="77">
        <f>F32*K32</f>
        <v>0</v>
      </c>
      <c r="M32" s="103" t="s">
        <v>35</v>
      </c>
      <c r="X32" s="77">
        <f>IF(AO32="5",BH32,0)</f>
        <v>0</v>
      </c>
      <c r="Z32" s="77">
        <f>IF(AO32="1",BF32,0)</f>
        <v>0</v>
      </c>
      <c r="AA32" s="77">
        <f>IF(AO32="1",BG32,0)</f>
        <v>0</v>
      </c>
      <c r="AB32" s="77">
        <f>IF(AO32="7",BF32,0)</f>
        <v>0</v>
      </c>
      <c r="AC32" s="77">
        <f>IF(AO32="7",BG32,0)</f>
        <v>0</v>
      </c>
      <c r="AD32" s="77">
        <f>IF(AO32="2",BF32,0)</f>
        <v>0</v>
      </c>
      <c r="AE32" s="77">
        <f>IF(AO32="2",BG32,0)</f>
        <v>0</v>
      </c>
      <c r="AF32" s="77">
        <f>IF(AO32="0",BH32,0)</f>
        <v>0</v>
      </c>
      <c r="AG32" s="71" t="s">
        <v>129</v>
      </c>
      <c r="AH32" s="77">
        <f>IF(AL32=0,J32,0)</f>
        <v>0</v>
      </c>
      <c r="AI32" s="77">
        <f>IF(AL32=15,J32,0)</f>
        <v>0</v>
      </c>
      <c r="AJ32" s="77">
        <f>IF(AL32=21,J32,0)</f>
        <v>0</v>
      </c>
      <c r="AL32" s="77">
        <v>21</v>
      </c>
      <c r="AM32" s="77">
        <f>G32*0</f>
        <v>0</v>
      </c>
      <c r="AN32" s="77">
        <f>G32*(1-0)</f>
        <v>0</v>
      </c>
      <c r="AO32" s="79" t="s">
        <v>132</v>
      </c>
      <c r="AT32" s="77">
        <f>AU32+AV32</f>
        <v>0</v>
      </c>
      <c r="AU32" s="77">
        <f>F32*AM32</f>
        <v>0</v>
      </c>
      <c r="AV32" s="77">
        <f>F32*AN32</f>
        <v>0</v>
      </c>
      <c r="AW32" s="79" t="s">
        <v>178</v>
      </c>
      <c r="AX32" s="79" t="s">
        <v>147</v>
      </c>
      <c r="AY32" s="71" t="s">
        <v>137</v>
      </c>
      <c r="BA32" s="77">
        <f>AU32+AV32</f>
        <v>0</v>
      </c>
      <c r="BB32" s="77">
        <f>G32/(100-BC32)*100</f>
        <v>0</v>
      </c>
      <c r="BC32" s="77">
        <v>0</v>
      </c>
      <c r="BD32" s="77">
        <f>L32</f>
        <v>0</v>
      </c>
      <c r="BF32" s="77">
        <f>F32*AM32</f>
        <v>0</v>
      </c>
      <c r="BG32" s="77">
        <f>F32*AN32</f>
        <v>0</v>
      </c>
      <c r="BH32" s="77">
        <f>F32*G32</f>
        <v>0</v>
      </c>
      <c r="BI32" s="77"/>
      <c r="BJ32" s="77">
        <v>12</v>
      </c>
      <c r="BU32" s="77" t="e">
        <f>#REF!</f>
        <v>#REF!</v>
      </c>
      <c r="BV32" s="70" t="s">
        <v>176</v>
      </c>
    </row>
    <row r="33" spans="1:74" ht="13.5" customHeight="1" thickBot="1" x14ac:dyDescent="0.3">
      <c r="A33" s="107"/>
      <c r="B33" s="108" t="s">
        <v>138</v>
      </c>
      <c r="C33" s="308" t="s">
        <v>179</v>
      </c>
      <c r="D33" s="309"/>
      <c r="E33" s="309"/>
      <c r="F33" s="309"/>
      <c r="G33" s="309"/>
      <c r="H33" s="309"/>
      <c r="I33" s="309"/>
      <c r="J33" s="309"/>
      <c r="K33" s="309"/>
      <c r="L33" s="309"/>
      <c r="M33" s="310"/>
    </row>
    <row r="34" spans="1:74" x14ac:dyDescent="0.25">
      <c r="A34" s="97" t="s">
        <v>129</v>
      </c>
      <c r="B34" s="98" t="s">
        <v>180</v>
      </c>
      <c r="C34" s="318" t="s">
        <v>181</v>
      </c>
      <c r="D34" s="319"/>
      <c r="E34" s="99" t="s">
        <v>87</v>
      </c>
      <c r="F34" s="99" t="s">
        <v>87</v>
      </c>
      <c r="G34" s="99" t="s">
        <v>87</v>
      </c>
      <c r="H34" s="100">
        <f>SUM(H35:H47)</f>
        <v>0</v>
      </c>
      <c r="I34" s="100">
        <f>SUM(I35:I47)</f>
        <v>0</v>
      </c>
      <c r="J34" s="100">
        <f>SUM(J35:J47)</f>
        <v>0</v>
      </c>
      <c r="K34" s="101" t="s">
        <v>129</v>
      </c>
      <c r="L34" s="100">
        <f>SUM(L35:L47)</f>
        <v>0</v>
      </c>
      <c r="M34" s="102" t="s">
        <v>129</v>
      </c>
      <c r="AG34" s="71" t="s">
        <v>129</v>
      </c>
      <c r="AQ34" s="67">
        <f>SUM(AH35:AH47)</f>
        <v>0</v>
      </c>
      <c r="AR34" s="67">
        <f>SUM(AI35:AI47)</f>
        <v>0</v>
      </c>
      <c r="AS34" s="67">
        <f>SUM(AJ35:AJ47)</f>
        <v>0</v>
      </c>
    </row>
    <row r="35" spans="1:74" x14ac:dyDescent="0.25">
      <c r="A35" s="92" t="s">
        <v>187</v>
      </c>
      <c r="B35" s="69" t="s">
        <v>183</v>
      </c>
      <c r="C35" s="306" t="s">
        <v>184</v>
      </c>
      <c r="D35" s="307"/>
      <c r="E35" s="69" t="s">
        <v>177</v>
      </c>
      <c r="F35" s="77">
        <v>68.47</v>
      </c>
      <c r="G35" s="218">
        <v>0</v>
      </c>
      <c r="H35" s="77">
        <f>F35*AM35</f>
        <v>0</v>
      </c>
      <c r="I35" s="77">
        <f>F35*AN35</f>
        <v>0</v>
      </c>
      <c r="J35" s="77">
        <f>F35*G35</f>
        <v>0</v>
      </c>
      <c r="K35" s="77">
        <v>0</v>
      </c>
      <c r="L35" s="77">
        <f>F35*K35</f>
        <v>0</v>
      </c>
      <c r="M35" s="103" t="s">
        <v>35</v>
      </c>
      <c r="X35" s="77">
        <f>IF(AO35="5",BH35,0)</f>
        <v>0</v>
      </c>
      <c r="Z35" s="77">
        <f>IF(AO35="1",BF35,0)</f>
        <v>0</v>
      </c>
      <c r="AA35" s="77">
        <f>IF(AO35="1",BG35,0)</f>
        <v>0</v>
      </c>
      <c r="AB35" s="77">
        <f>IF(AO35="7",BF35,0)</f>
        <v>0</v>
      </c>
      <c r="AC35" s="77">
        <f>IF(AO35="7",BG35,0)</f>
        <v>0</v>
      </c>
      <c r="AD35" s="77">
        <f>IF(AO35="2",BF35,0)</f>
        <v>0</v>
      </c>
      <c r="AE35" s="77">
        <f>IF(AO35="2",BG35,0)</f>
        <v>0</v>
      </c>
      <c r="AF35" s="77">
        <f>IF(AO35="0",BH35,0)</f>
        <v>0</v>
      </c>
      <c r="AG35" s="71" t="s">
        <v>129</v>
      </c>
      <c r="AH35" s="77">
        <f>IF(AL35=0,J35,0)</f>
        <v>0</v>
      </c>
      <c r="AI35" s="77">
        <f>IF(AL35=15,J35,0)</f>
        <v>0</v>
      </c>
      <c r="AJ35" s="77">
        <f>IF(AL35=21,J35,0)</f>
        <v>0</v>
      </c>
      <c r="AL35" s="77">
        <v>21</v>
      </c>
      <c r="AM35" s="77">
        <f>G35*0</f>
        <v>0</v>
      </c>
      <c r="AN35" s="77">
        <f>G35*(1-0)</f>
        <v>0</v>
      </c>
      <c r="AO35" s="79" t="s">
        <v>132</v>
      </c>
      <c r="AT35" s="77">
        <f>AU35+AV35</f>
        <v>0</v>
      </c>
      <c r="AU35" s="77">
        <f>F35*AM35</f>
        <v>0</v>
      </c>
      <c r="AV35" s="77">
        <f>F35*AN35</f>
        <v>0</v>
      </c>
      <c r="AW35" s="79" t="s">
        <v>185</v>
      </c>
      <c r="AX35" s="79" t="s">
        <v>147</v>
      </c>
      <c r="AY35" s="71" t="s">
        <v>137</v>
      </c>
      <c r="BA35" s="77">
        <f>AU35+AV35</f>
        <v>0</v>
      </c>
      <c r="BB35" s="77">
        <f>G35/(100-BC35)*100</f>
        <v>0</v>
      </c>
      <c r="BC35" s="77">
        <v>0</v>
      </c>
      <c r="BD35" s="77">
        <f>L35</f>
        <v>0</v>
      </c>
      <c r="BF35" s="77">
        <f>F35*AM35</f>
        <v>0</v>
      </c>
      <c r="BG35" s="77">
        <f>F35*AN35</f>
        <v>0</v>
      </c>
      <c r="BH35" s="77">
        <f>F35*G35</f>
        <v>0</v>
      </c>
      <c r="BI35" s="77"/>
      <c r="BJ35" s="77">
        <v>13</v>
      </c>
      <c r="BU35" s="77" t="e">
        <f>#REF!</f>
        <v>#REF!</v>
      </c>
      <c r="BV35" s="70" t="s">
        <v>184</v>
      </c>
    </row>
    <row r="36" spans="1:74" ht="67.5" customHeight="1" x14ac:dyDescent="0.25">
      <c r="A36" s="104"/>
      <c r="B36" s="81" t="s">
        <v>138</v>
      </c>
      <c r="C36" s="303" t="s">
        <v>497</v>
      </c>
      <c r="D36" s="304"/>
      <c r="E36" s="304"/>
      <c r="F36" s="304"/>
      <c r="G36" s="304"/>
      <c r="H36" s="304"/>
      <c r="I36" s="304"/>
      <c r="J36" s="304"/>
      <c r="K36" s="304"/>
      <c r="L36" s="304"/>
      <c r="M36" s="305"/>
    </row>
    <row r="37" spans="1:74" x14ac:dyDescent="0.25">
      <c r="A37" s="92" t="s">
        <v>140</v>
      </c>
      <c r="B37" s="69" t="s">
        <v>188</v>
      </c>
      <c r="C37" s="306" t="s">
        <v>189</v>
      </c>
      <c r="D37" s="307"/>
      <c r="E37" s="69" t="s">
        <v>177</v>
      </c>
      <c r="F37" s="77">
        <v>34.229999999999997</v>
      </c>
      <c r="G37" s="218">
        <v>0</v>
      </c>
      <c r="H37" s="77">
        <f>F37*AM37</f>
        <v>0</v>
      </c>
      <c r="I37" s="77">
        <f>F37*AN37</f>
        <v>0</v>
      </c>
      <c r="J37" s="77">
        <f>F37*G37</f>
        <v>0</v>
      </c>
      <c r="K37" s="77">
        <v>0</v>
      </c>
      <c r="L37" s="77">
        <f>F37*K37</f>
        <v>0</v>
      </c>
      <c r="M37" s="103" t="s">
        <v>35</v>
      </c>
      <c r="X37" s="77">
        <f>IF(AO37="5",BH37,0)</f>
        <v>0</v>
      </c>
      <c r="Z37" s="77">
        <f>IF(AO37="1",BF37,0)</f>
        <v>0</v>
      </c>
      <c r="AA37" s="77">
        <f>IF(AO37="1",BG37,0)</f>
        <v>0</v>
      </c>
      <c r="AB37" s="77">
        <f>IF(AO37="7",BF37,0)</f>
        <v>0</v>
      </c>
      <c r="AC37" s="77">
        <f>IF(AO37="7",BG37,0)</f>
        <v>0</v>
      </c>
      <c r="AD37" s="77">
        <f>IF(AO37="2",BF37,0)</f>
        <v>0</v>
      </c>
      <c r="AE37" s="77">
        <f>IF(AO37="2",BG37,0)</f>
        <v>0</v>
      </c>
      <c r="AF37" s="77">
        <f>IF(AO37="0",BH37,0)</f>
        <v>0</v>
      </c>
      <c r="AG37" s="71" t="s">
        <v>129</v>
      </c>
      <c r="AH37" s="77">
        <f>IF(AL37=0,J37,0)</f>
        <v>0</v>
      </c>
      <c r="AI37" s="77">
        <f>IF(AL37=15,J37,0)</f>
        <v>0</v>
      </c>
      <c r="AJ37" s="77">
        <f>IF(AL37=21,J37,0)</f>
        <v>0</v>
      </c>
      <c r="AL37" s="77">
        <v>21</v>
      </c>
      <c r="AM37" s="77">
        <f>G37*0</f>
        <v>0</v>
      </c>
      <c r="AN37" s="77">
        <f>G37*(1-0)</f>
        <v>0</v>
      </c>
      <c r="AO37" s="79" t="s">
        <v>132</v>
      </c>
      <c r="AT37" s="77">
        <f>AU37+AV37</f>
        <v>0</v>
      </c>
      <c r="AU37" s="77">
        <f>F37*AM37</f>
        <v>0</v>
      </c>
      <c r="AV37" s="77">
        <f>F37*AN37</f>
        <v>0</v>
      </c>
      <c r="AW37" s="79" t="s">
        <v>185</v>
      </c>
      <c r="AX37" s="79" t="s">
        <v>147</v>
      </c>
      <c r="AY37" s="71" t="s">
        <v>137</v>
      </c>
      <c r="BA37" s="77">
        <f>AU37+AV37</f>
        <v>0</v>
      </c>
      <c r="BB37" s="77">
        <f>G37/(100-BC37)*100</f>
        <v>0</v>
      </c>
      <c r="BC37" s="77">
        <v>0</v>
      </c>
      <c r="BD37" s="77">
        <f>L37</f>
        <v>0</v>
      </c>
      <c r="BF37" s="77">
        <f>F37*AM37</f>
        <v>0</v>
      </c>
      <c r="BG37" s="77">
        <f>F37*AN37</f>
        <v>0</v>
      </c>
      <c r="BH37" s="77">
        <f>F37*G37</f>
        <v>0</v>
      </c>
      <c r="BI37" s="77"/>
      <c r="BJ37" s="77">
        <v>13</v>
      </c>
      <c r="BU37" s="77" t="e">
        <f>#REF!</f>
        <v>#REF!</v>
      </c>
      <c r="BV37" s="70" t="s">
        <v>189</v>
      </c>
    </row>
    <row r="38" spans="1:74" ht="40.5" customHeight="1" x14ac:dyDescent="0.25">
      <c r="A38" s="104"/>
      <c r="B38" s="81" t="s">
        <v>138</v>
      </c>
      <c r="C38" s="303" t="s">
        <v>498</v>
      </c>
      <c r="D38" s="304"/>
      <c r="E38" s="304"/>
      <c r="F38" s="304"/>
      <c r="G38" s="304"/>
      <c r="H38" s="304"/>
      <c r="I38" s="304"/>
      <c r="J38" s="304"/>
      <c r="K38" s="304"/>
      <c r="L38" s="304"/>
      <c r="M38" s="305"/>
    </row>
    <row r="39" spans="1:74" x14ac:dyDescent="0.25">
      <c r="A39" s="92" t="s">
        <v>172</v>
      </c>
      <c r="B39" s="69" t="s">
        <v>191</v>
      </c>
      <c r="C39" s="306" t="s">
        <v>192</v>
      </c>
      <c r="D39" s="307"/>
      <c r="E39" s="69" t="s">
        <v>177</v>
      </c>
      <c r="F39" s="77">
        <v>68.47</v>
      </c>
      <c r="G39" s="218">
        <v>0</v>
      </c>
      <c r="H39" s="77">
        <f>F39*AM39</f>
        <v>0</v>
      </c>
      <c r="I39" s="77">
        <f>F39*AN39</f>
        <v>0</v>
      </c>
      <c r="J39" s="77">
        <f>F39*G39</f>
        <v>0</v>
      </c>
      <c r="K39" s="77">
        <v>0</v>
      </c>
      <c r="L39" s="77">
        <f>F39*K39</f>
        <v>0</v>
      </c>
      <c r="M39" s="103" t="s">
        <v>35</v>
      </c>
      <c r="X39" s="77">
        <f>IF(AO39="5",BH39,0)</f>
        <v>0</v>
      </c>
      <c r="Z39" s="77">
        <f>IF(AO39="1",BF39,0)</f>
        <v>0</v>
      </c>
      <c r="AA39" s="77">
        <f>IF(AO39="1",BG39,0)</f>
        <v>0</v>
      </c>
      <c r="AB39" s="77">
        <f>IF(AO39="7",BF39,0)</f>
        <v>0</v>
      </c>
      <c r="AC39" s="77">
        <f>IF(AO39="7",BG39,0)</f>
        <v>0</v>
      </c>
      <c r="AD39" s="77">
        <f>IF(AO39="2",BF39,0)</f>
        <v>0</v>
      </c>
      <c r="AE39" s="77">
        <f>IF(AO39="2",BG39,0)</f>
        <v>0</v>
      </c>
      <c r="AF39" s="77">
        <f>IF(AO39="0",BH39,0)</f>
        <v>0</v>
      </c>
      <c r="AG39" s="71" t="s">
        <v>129</v>
      </c>
      <c r="AH39" s="77">
        <f>IF(AL39=0,J39,0)</f>
        <v>0</v>
      </c>
      <c r="AI39" s="77">
        <f>IF(AL39=15,J39,0)</f>
        <v>0</v>
      </c>
      <c r="AJ39" s="77">
        <f>IF(AL39=21,J39,0)</f>
        <v>0</v>
      </c>
      <c r="AL39" s="77">
        <v>21</v>
      </c>
      <c r="AM39" s="77">
        <f>G39*0</f>
        <v>0</v>
      </c>
      <c r="AN39" s="77">
        <f>G39*(1-0)</f>
        <v>0</v>
      </c>
      <c r="AO39" s="79" t="s">
        <v>132</v>
      </c>
      <c r="AT39" s="77">
        <f>AU39+AV39</f>
        <v>0</v>
      </c>
      <c r="AU39" s="77">
        <f>F39*AM39</f>
        <v>0</v>
      </c>
      <c r="AV39" s="77">
        <f>F39*AN39</f>
        <v>0</v>
      </c>
      <c r="AW39" s="79" t="s">
        <v>185</v>
      </c>
      <c r="AX39" s="79" t="s">
        <v>147</v>
      </c>
      <c r="AY39" s="71" t="s">
        <v>137</v>
      </c>
      <c r="BA39" s="77">
        <f>AU39+AV39</f>
        <v>0</v>
      </c>
      <c r="BB39" s="77">
        <f>G39/(100-BC39)*100</f>
        <v>0</v>
      </c>
      <c r="BC39" s="77">
        <v>0</v>
      </c>
      <c r="BD39" s="77">
        <f>L39</f>
        <v>0</v>
      </c>
      <c r="BF39" s="77">
        <f>F39*AM39</f>
        <v>0</v>
      </c>
      <c r="BG39" s="77">
        <f>F39*AN39</f>
        <v>0</v>
      </c>
      <c r="BH39" s="77">
        <f>F39*G39</f>
        <v>0</v>
      </c>
      <c r="BI39" s="77"/>
      <c r="BJ39" s="77">
        <v>13</v>
      </c>
      <c r="BU39" s="77" t="e">
        <f>#REF!</f>
        <v>#REF!</v>
      </c>
      <c r="BV39" s="70" t="s">
        <v>192</v>
      </c>
    </row>
    <row r="40" spans="1:74" ht="67.5" customHeight="1" x14ac:dyDescent="0.25">
      <c r="A40" s="104"/>
      <c r="B40" s="81" t="s">
        <v>138</v>
      </c>
      <c r="C40" s="303" t="s">
        <v>499</v>
      </c>
      <c r="D40" s="304"/>
      <c r="E40" s="304"/>
      <c r="F40" s="304"/>
      <c r="G40" s="304"/>
      <c r="H40" s="304"/>
      <c r="I40" s="304"/>
      <c r="J40" s="304"/>
      <c r="K40" s="304"/>
      <c r="L40" s="304"/>
      <c r="M40" s="305"/>
    </row>
    <row r="41" spans="1:74" x14ac:dyDescent="0.25">
      <c r="A41" s="92" t="s">
        <v>180</v>
      </c>
      <c r="B41" s="69" t="s">
        <v>194</v>
      </c>
      <c r="C41" s="306" t="s">
        <v>195</v>
      </c>
      <c r="D41" s="307"/>
      <c r="E41" s="69" t="s">
        <v>177</v>
      </c>
      <c r="F41" s="77">
        <v>17.12</v>
      </c>
      <c r="G41" s="218">
        <v>0</v>
      </c>
      <c r="H41" s="77">
        <f>F41*AM41</f>
        <v>0</v>
      </c>
      <c r="I41" s="77">
        <f>F41*AN41</f>
        <v>0</v>
      </c>
      <c r="J41" s="77">
        <f>F41*G41</f>
        <v>0</v>
      </c>
      <c r="K41" s="77">
        <v>0</v>
      </c>
      <c r="L41" s="77">
        <f>F41*K41</f>
        <v>0</v>
      </c>
      <c r="M41" s="103" t="s">
        <v>35</v>
      </c>
      <c r="X41" s="77">
        <f>IF(AO41="5",BH41,0)</f>
        <v>0</v>
      </c>
      <c r="Z41" s="77">
        <f>IF(AO41="1",BF41,0)</f>
        <v>0</v>
      </c>
      <c r="AA41" s="77">
        <f>IF(AO41="1",BG41,0)</f>
        <v>0</v>
      </c>
      <c r="AB41" s="77">
        <f>IF(AO41="7",BF41,0)</f>
        <v>0</v>
      </c>
      <c r="AC41" s="77">
        <f>IF(AO41="7",BG41,0)</f>
        <v>0</v>
      </c>
      <c r="AD41" s="77">
        <f>IF(AO41="2",BF41,0)</f>
        <v>0</v>
      </c>
      <c r="AE41" s="77">
        <f>IF(AO41="2",BG41,0)</f>
        <v>0</v>
      </c>
      <c r="AF41" s="77">
        <f>IF(AO41="0",BH41,0)</f>
        <v>0</v>
      </c>
      <c r="AG41" s="71" t="s">
        <v>129</v>
      </c>
      <c r="AH41" s="77">
        <f>IF(AL41=0,J41,0)</f>
        <v>0</v>
      </c>
      <c r="AI41" s="77">
        <f>IF(AL41=15,J41,0)</f>
        <v>0</v>
      </c>
      <c r="AJ41" s="77">
        <f>IF(AL41=21,J41,0)</f>
        <v>0</v>
      </c>
      <c r="AL41" s="77">
        <v>21</v>
      </c>
      <c r="AM41" s="77">
        <f>G41*0</f>
        <v>0</v>
      </c>
      <c r="AN41" s="77">
        <f>G41*(1-0)</f>
        <v>0</v>
      </c>
      <c r="AO41" s="79" t="s">
        <v>132</v>
      </c>
      <c r="AT41" s="77">
        <f>AU41+AV41</f>
        <v>0</v>
      </c>
      <c r="AU41" s="77">
        <f>F41*AM41</f>
        <v>0</v>
      </c>
      <c r="AV41" s="77">
        <f>F41*AN41</f>
        <v>0</v>
      </c>
      <c r="AW41" s="79" t="s">
        <v>185</v>
      </c>
      <c r="AX41" s="79" t="s">
        <v>147</v>
      </c>
      <c r="AY41" s="71" t="s">
        <v>137</v>
      </c>
      <c r="BA41" s="77">
        <f>AU41+AV41</f>
        <v>0</v>
      </c>
      <c r="BB41" s="77">
        <f>G41/(100-BC41)*100</f>
        <v>0</v>
      </c>
      <c r="BC41" s="77">
        <v>0</v>
      </c>
      <c r="BD41" s="77">
        <f>L41</f>
        <v>0</v>
      </c>
      <c r="BF41" s="77">
        <f>F41*AM41</f>
        <v>0</v>
      </c>
      <c r="BG41" s="77">
        <f>F41*AN41</f>
        <v>0</v>
      </c>
      <c r="BH41" s="77">
        <f>F41*G41</f>
        <v>0</v>
      </c>
      <c r="BI41" s="77"/>
      <c r="BJ41" s="77">
        <v>13</v>
      </c>
      <c r="BU41" s="77" t="e">
        <f>#REF!</f>
        <v>#REF!</v>
      </c>
      <c r="BV41" s="70" t="s">
        <v>195</v>
      </c>
    </row>
    <row r="42" spans="1:74" ht="40.5" customHeight="1" x14ac:dyDescent="0.25">
      <c r="A42" s="104"/>
      <c r="B42" s="81" t="s">
        <v>138</v>
      </c>
      <c r="C42" s="303" t="s">
        <v>500</v>
      </c>
      <c r="D42" s="304"/>
      <c r="E42" s="304"/>
      <c r="F42" s="304"/>
      <c r="G42" s="304"/>
      <c r="H42" s="304"/>
      <c r="I42" s="304"/>
      <c r="J42" s="304"/>
      <c r="K42" s="304"/>
      <c r="L42" s="304"/>
      <c r="M42" s="305"/>
    </row>
    <row r="43" spans="1:74" x14ac:dyDescent="0.25">
      <c r="A43" s="92" t="s">
        <v>200</v>
      </c>
      <c r="B43" s="69" t="s">
        <v>197</v>
      </c>
      <c r="C43" s="306" t="s">
        <v>198</v>
      </c>
      <c r="D43" s="307"/>
      <c r="E43" s="69" t="s">
        <v>177</v>
      </c>
      <c r="F43" s="77">
        <v>5</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21</v>
      </c>
      <c r="AM43" s="77">
        <f>G43*0</f>
        <v>0</v>
      </c>
      <c r="AN43" s="77">
        <f>G43*(1-0)</f>
        <v>0</v>
      </c>
      <c r="AO43" s="79" t="s">
        <v>132</v>
      </c>
      <c r="AT43" s="77">
        <f>AU43+AV43</f>
        <v>0</v>
      </c>
      <c r="AU43" s="77">
        <f>F43*AM43</f>
        <v>0</v>
      </c>
      <c r="AV43" s="77">
        <f>F43*AN43</f>
        <v>0</v>
      </c>
      <c r="AW43" s="79" t="s">
        <v>185</v>
      </c>
      <c r="AX43" s="79" t="s">
        <v>147</v>
      </c>
      <c r="AY43" s="71" t="s">
        <v>137</v>
      </c>
      <c r="BA43" s="77">
        <f>AU43+AV43</f>
        <v>0</v>
      </c>
      <c r="BB43" s="77">
        <f>G43/(100-BC43)*100</f>
        <v>0</v>
      </c>
      <c r="BC43" s="77">
        <v>0</v>
      </c>
      <c r="BD43" s="77">
        <f>L43</f>
        <v>0</v>
      </c>
      <c r="BF43" s="77">
        <f>F43*AM43</f>
        <v>0</v>
      </c>
      <c r="BG43" s="77">
        <f>F43*AN43</f>
        <v>0</v>
      </c>
      <c r="BH43" s="77">
        <f>F43*G43</f>
        <v>0</v>
      </c>
      <c r="BI43" s="77"/>
      <c r="BJ43" s="77">
        <v>13</v>
      </c>
      <c r="BU43" s="77" t="e">
        <f>#REF!</f>
        <v>#REF!</v>
      </c>
      <c r="BV43" s="70" t="s">
        <v>198</v>
      </c>
    </row>
    <row r="44" spans="1:74" ht="54" customHeight="1" x14ac:dyDescent="0.25">
      <c r="A44" s="104"/>
      <c r="B44" s="81" t="s">
        <v>138</v>
      </c>
      <c r="C44" s="303" t="s">
        <v>199</v>
      </c>
      <c r="D44" s="304"/>
      <c r="E44" s="304"/>
      <c r="F44" s="304"/>
      <c r="G44" s="304"/>
      <c r="H44" s="304"/>
      <c r="I44" s="304"/>
      <c r="J44" s="304"/>
      <c r="K44" s="304"/>
      <c r="L44" s="304"/>
      <c r="M44" s="305"/>
    </row>
    <row r="45" spans="1:74" x14ac:dyDescent="0.25">
      <c r="A45" s="92" t="s">
        <v>204</v>
      </c>
      <c r="B45" s="69" t="s">
        <v>201</v>
      </c>
      <c r="C45" s="306" t="s">
        <v>202</v>
      </c>
      <c r="D45" s="307"/>
      <c r="E45" s="69" t="s">
        <v>177</v>
      </c>
      <c r="F45" s="77">
        <v>3</v>
      </c>
      <c r="G45" s="218">
        <v>0</v>
      </c>
      <c r="H45" s="77">
        <f>F45*AM45</f>
        <v>0</v>
      </c>
      <c r="I45" s="77">
        <f>F45*AN45</f>
        <v>0</v>
      </c>
      <c r="J45" s="77">
        <f>F45*G45</f>
        <v>0</v>
      </c>
      <c r="K45" s="77">
        <v>0</v>
      </c>
      <c r="L45" s="77">
        <f>F45*K45</f>
        <v>0</v>
      </c>
      <c r="M45" s="103" t="s">
        <v>35</v>
      </c>
      <c r="X45" s="77">
        <f>IF(AO45="5",BH45,0)</f>
        <v>0</v>
      </c>
      <c r="Z45" s="77">
        <f>IF(AO45="1",BF45,0)</f>
        <v>0</v>
      </c>
      <c r="AA45" s="77">
        <f>IF(AO45="1",BG45,0)</f>
        <v>0</v>
      </c>
      <c r="AB45" s="77">
        <f>IF(AO45="7",BF45,0)</f>
        <v>0</v>
      </c>
      <c r="AC45" s="77">
        <f>IF(AO45="7",BG45,0)</f>
        <v>0</v>
      </c>
      <c r="AD45" s="77">
        <f>IF(AO45="2",BF45,0)</f>
        <v>0</v>
      </c>
      <c r="AE45" s="77">
        <f>IF(AO45="2",BG45,0)</f>
        <v>0</v>
      </c>
      <c r="AF45" s="77">
        <f>IF(AO45="0",BH45,0)</f>
        <v>0</v>
      </c>
      <c r="AG45" s="71" t="s">
        <v>129</v>
      </c>
      <c r="AH45" s="77">
        <f>IF(AL45=0,J45,0)</f>
        <v>0</v>
      </c>
      <c r="AI45" s="77">
        <f>IF(AL45=15,J45,0)</f>
        <v>0</v>
      </c>
      <c r="AJ45" s="77">
        <f>IF(AL45=21,J45,0)</f>
        <v>0</v>
      </c>
      <c r="AL45" s="77">
        <v>21</v>
      </c>
      <c r="AM45" s="77">
        <f>G45*0</f>
        <v>0</v>
      </c>
      <c r="AN45" s="77">
        <f>G45*(1-0)</f>
        <v>0</v>
      </c>
      <c r="AO45" s="79" t="s">
        <v>132</v>
      </c>
      <c r="AT45" s="77">
        <f>AU45+AV45</f>
        <v>0</v>
      </c>
      <c r="AU45" s="77">
        <f>F45*AM45</f>
        <v>0</v>
      </c>
      <c r="AV45" s="77">
        <f>F45*AN45</f>
        <v>0</v>
      </c>
      <c r="AW45" s="79" t="s">
        <v>185</v>
      </c>
      <c r="AX45" s="79" t="s">
        <v>147</v>
      </c>
      <c r="AY45" s="71" t="s">
        <v>137</v>
      </c>
      <c r="BA45" s="77">
        <f>AU45+AV45</f>
        <v>0</v>
      </c>
      <c r="BB45" s="77">
        <f>G45/(100-BC45)*100</f>
        <v>0</v>
      </c>
      <c r="BC45" s="77">
        <v>0</v>
      </c>
      <c r="BD45" s="77">
        <f>L45</f>
        <v>0</v>
      </c>
      <c r="BF45" s="77">
        <f>F45*AM45</f>
        <v>0</v>
      </c>
      <c r="BG45" s="77">
        <f>F45*AN45</f>
        <v>0</v>
      </c>
      <c r="BH45" s="77">
        <f>F45*G45</f>
        <v>0</v>
      </c>
      <c r="BI45" s="77"/>
      <c r="BJ45" s="77">
        <v>13</v>
      </c>
      <c r="BU45" s="77" t="e">
        <f>#REF!</f>
        <v>#REF!</v>
      </c>
      <c r="BV45" s="70" t="s">
        <v>202</v>
      </c>
    </row>
    <row r="46" spans="1:74" ht="13.5" customHeight="1" x14ac:dyDescent="0.25">
      <c r="A46" s="104"/>
      <c r="B46" s="81" t="s">
        <v>138</v>
      </c>
      <c r="C46" s="303" t="s">
        <v>203</v>
      </c>
      <c r="D46" s="304"/>
      <c r="E46" s="304"/>
      <c r="F46" s="304"/>
      <c r="G46" s="304"/>
      <c r="H46" s="304"/>
      <c r="I46" s="304"/>
      <c r="J46" s="304"/>
      <c r="K46" s="304"/>
      <c r="L46" s="304"/>
      <c r="M46" s="305"/>
    </row>
    <row r="47" spans="1:74" x14ac:dyDescent="0.25">
      <c r="A47" s="92" t="s">
        <v>209</v>
      </c>
      <c r="B47" s="69" t="s">
        <v>205</v>
      </c>
      <c r="C47" s="306" t="s">
        <v>206</v>
      </c>
      <c r="D47" s="307"/>
      <c r="E47" s="69" t="s">
        <v>177</v>
      </c>
      <c r="F47" s="77">
        <v>2.75</v>
      </c>
      <c r="G47" s="218">
        <v>0</v>
      </c>
      <c r="H47" s="77">
        <f>F47*AM47</f>
        <v>0</v>
      </c>
      <c r="I47" s="77">
        <f>F47*AN47</f>
        <v>0</v>
      </c>
      <c r="J47" s="77">
        <f>F47*G47</f>
        <v>0</v>
      </c>
      <c r="K47" s="77">
        <v>0</v>
      </c>
      <c r="L47" s="77">
        <f>F47*K47</f>
        <v>0</v>
      </c>
      <c r="M47" s="103" t="s">
        <v>35</v>
      </c>
      <c r="X47" s="77">
        <f>IF(AO47="5",BH47,0)</f>
        <v>0</v>
      </c>
      <c r="Z47" s="77">
        <f>IF(AO47="1",BF47,0)</f>
        <v>0</v>
      </c>
      <c r="AA47" s="77">
        <f>IF(AO47="1",BG47,0)</f>
        <v>0</v>
      </c>
      <c r="AB47" s="77">
        <f>IF(AO47="7",BF47,0)</f>
        <v>0</v>
      </c>
      <c r="AC47" s="77">
        <f>IF(AO47="7",BG47,0)</f>
        <v>0</v>
      </c>
      <c r="AD47" s="77">
        <f>IF(AO47="2",BF47,0)</f>
        <v>0</v>
      </c>
      <c r="AE47" s="77">
        <f>IF(AO47="2",BG47,0)</f>
        <v>0</v>
      </c>
      <c r="AF47" s="77">
        <f>IF(AO47="0",BH47,0)</f>
        <v>0</v>
      </c>
      <c r="AG47" s="71" t="s">
        <v>129</v>
      </c>
      <c r="AH47" s="77">
        <f>IF(AL47=0,J47,0)</f>
        <v>0</v>
      </c>
      <c r="AI47" s="77">
        <f>IF(AL47=15,J47,0)</f>
        <v>0</v>
      </c>
      <c r="AJ47" s="77">
        <f>IF(AL47=21,J47,0)</f>
        <v>0</v>
      </c>
      <c r="AL47" s="77">
        <v>21</v>
      </c>
      <c r="AM47" s="77">
        <f>G47*0</f>
        <v>0</v>
      </c>
      <c r="AN47" s="77">
        <f>G47*(1-0)</f>
        <v>0</v>
      </c>
      <c r="AO47" s="79" t="s">
        <v>132</v>
      </c>
      <c r="AT47" s="77">
        <f>AU47+AV47</f>
        <v>0</v>
      </c>
      <c r="AU47" s="77">
        <f>F47*AM47</f>
        <v>0</v>
      </c>
      <c r="AV47" s="77">
        <f>F47*AN47</f>
        <v>0</v>
      </c>
      <c r="AW47" s="79" t="s">
        <v>185</v>
      </c>
      <c r="AX47" s="79" t="s">
        <v>147</v>
      </c>
      <c r="AY47" s="71" t="s">
        <v>137</v>
      </c>
      <c r="BA47" s="77">
        <f>AU47+AV47</f>
        <v>0</v>
      </c>
      <c r="BB47" s="77">
        <f>G47/(100-BC47)*100</f>
        <v>0</v>
      </c>
      <c r="BC47" s="77">
        <v>0</v>
      </c>
      <c r="BD47" s="77">
        <f>L47</f>
        <v>0</v>
      </c>
      <c r="BF47" s="77">
        <f>F47*AM47</f>
        <v>0</v>
      </c>
      <c r="BG47" s="77">
        <f>F47*AN47</f>
        <v>0</v>
      </c>
      <c r="BH47" s="77">
        <f>F47*G47</f>
        <v>0</v>
      </c>
      <c r="BI47" s="77"/>
      <c r="BJ47" s="77">
        <v>13</v>
      </c>
      <c r="BU47" s="77" t="e">
        <f>#REF!</f>
        <v>#REF!</v>
      </c>
      <c r="BV47" s="70" t="s">
        <v>206</v>
      </c>
    </row>
    <row r="48" spans="1:74" ht="40.5" customHeight="1" x14ac:dyDescent="0.25">
      <c r="A48" s="104"/>
      <c r="B48" s="81" t="s">
        <v>138</v>
      </c>
      <c r="C48" s="303" t="s">
        <v>207</v>
      </c>
      <c r="D48" s="304"/>
      <c r="E48" s="304"/>
      <c r="F48" s="304"/>
      <c r="G48" s="304"/>
      <c r="H48" s="304"/>
      <c r="I48" s="304"/>
      <c r="J48" s="304"/>
      <c r="K48" s="304"/>
      <c r="L48" s="304"/>
      <c r="M48" s="305"/>
    </row>
    <row r="49" spans="1:74" x14ac:dyDescent="0.25">
      <c r="A49" s="105" t="s">
        <v>129</v>
      </c>
      <c r="B49" s="74" t="s">
        <v>204</v>
      </c>
      <c r="C49" s="314" t="s">
        <v>208</v>
      </c>
      <c r="D49" s="315"/>
      <c r="E49" s="75" t="s">
        <v>87</v>
      </c>
      <c r="F49" s="75" t="s">
        <v>87</v>
      </c>
      <c r="G49" s="75" t="s">
        <v>87</v>
      </c>
      <c r="H49" s="67">
        <f>SUM(H50:H52)</f>
        <v>0</v>
      </c>
      <c r="I49" s="67">
        <f>SUM(I50:I52)</f>
        <v>0</v>
      </c>
      <c r="J49" s="67">
        <f>SUM(J50:J52)</f>
        <v>0</v>
      </c>
      <c r="K49" s="71" t="s">
        <v>129</v>
      </c>
      <c r="L49" s="67">
        <f>SUM(L50:L52)</f>
        <v>0.20772179999999998</v>
      </c>
      <c r="M49" s="106" t="s">
        <v>129</v>
      </c>
      <c r="AG49" s="71" t="s">
        <v>129</v>
      </c>
      <c r="AQ49" s="67">
        <f>SUM(AH50:AH52)</f>
        <v>0</v>
      </c>
      <c r="AR49" s="67">
        <f>SUM(AI50:AI52)</f>
        <v>0</v>
      </c>
      <c r="AS49" s="67">
        <f>SUM(AJ50:AJ52)</f>
        <v>0</v>
      </c>
    </row>
    <row r="50" spans="1:74" x14ac:dyDescent="0.25">
      <c r="A50" s="92" t="s">
        <v>214</v>
      </c>
      <c r="B50" s="69" t="s">
        <v>501</v>
      </c>
      <c r="C50" s="306" t="s">
        <v>502</v>
      </c>
      <c r="D50" s="307"/>
      <c r="E50" s="69" t="s">
        <v>166</v>
      </c>
      <c r="F50" s="77">
        <v>209.82</v>
      </c>
      <c r="G50" s="218">
        <v>0</v>
      </c>
      <c r="H50" s="77">
        <f>F50*AM50</f>
        <v>0</v>
      </c>
      <c r="I50" s="77">
        <f>F50*AN50</f>
        <v>0</v>
      </c>
      <c r="J50" s="77">
        <f>F50*G50</f>
        <v>0</v>
      </c>
      <c r="K50" s="77">
        <v>9.8999999999999999E-4</v>
      </c>
      <c r="L50" s="77">
        <f>F50*K50</f>
        <v>0.20772179999999998</v>
      </c>
      <c r="M50" s="103" t="s">
        <v>35</v>
      </c>
      <c r="X50" s="77">
        <f>IF(AO50="5",BH50,0)</f>
        <v>0</v>
      </c>
      <c r="Z50" s="77">
        <f>IF(AO50="1",BF50,0)</f>
        <v>0</v>
      </c>
      <c r="AA50" s="77">
        <f>IF(AO50="1",BG50,0)</f>
        <v>0</v>
      </c>
      <c r="AB50" s="77">
        <f>IF(AO50="7",BF50,0)</f>
        <v>0</v>
      </c>
      <c r="AC50" s="77">
        <f>IF(AO50="7",BG50,0)</f>
        <v>0</v>
      </c>
      <c r="AD50" s="77">
        <f>IF(AO50="2",BF50,0)</f>
        <v>0</v>
      </c>
      <c r="AE50" s="77">
        <f>IF(AO50="2",BG50,0)</f>
        <v>0</v>
      </c>
      <c r="AF50" s="77">
        <f>IF(AO50="0",BH50,0)</f>
        <v>0</v>
      </c>
      <c r="AG50" s="71" t="s">
        <v>129</v>
      </c>
      <c r="AH50" s="77">
        <f>IF(AL50=0,J50,0)</f>
        <v>0</v>
      </c>
      <c r="AI50" s="77">
        <f>IF(AL50=15,J50,0)</f>
        <v>0</v>
      </c>
      <c r="AJ50" s="77">
        <f>IF(AL50=21,J50,0)</f>
        <v>0</v>
      </c>
      <c r="AL50" s="77">
        <v>21</v>
      </c>
      <c r="AM50" s="77">
        <f>G50*0.091290323</f>
        <v>0</v>
      </c>
      <c r="AN50" s="77">
        <f>G50*(1-0.091290323)</f>
        <v>0</v>
      </c>
      <c r="AO50" s="79" t="s">
        <v>132</v>
      </c>
      <c r="AT50" s="77">
        <f>AU50+AV50</f>
        <v>0</v>
      </c>
      <c r="AU50" s="77">
        <f>F50*AM50</f>
        <v>0</v>
      </c>
      <c r="AV50" s="77">
        <f>F50*AN50</f>
        <v>0</v>
      </c>
      <c r="AW50" s="79" t="s">
        <v>212</v>
      </c>
      <c r="AX50" s="79" t="s">
        <v>147</v>
      </c>
      <c r="AY50" s="71" t="s">
        <v>137</v>
      </c>
      <c r="BA50" s="77">
        <f>AU50+AV50</f>
        <v>0</v>
      </c>
      <c r="BB50" s="77">
        <f>G50/(100-BC50)*100</f>
        <v>0</v>
      </c>
      <c r="BC50" s="77">
        <v>0</v>
      </c>
      <c r="BD50" s="77">
        <f>L50</f>
        <v>0.20772179999999998</v>
      </c>
      <c r="BF50" s="77">
        <f>F50*AM50</f>
        <v>0</v>
      </c>
      <c r="BG50" s="77">
        <f>F50*AN50</f>
        <v>0</v>
      </c>
      <c r="BH50" s="77">
        <f>F50*G50</f>
        <v>0</v>
      </c>
      <c r="BI50" s="77"/>
      <c r="BJ50" s="77">
        <v>15</v>
      </c>
      <c r="BU50" s="77" t="e">
        <f>#REF!</f>
        <v>#REF!</v>
      </c>
      <c r="BV50" s="70" t="s">
        <v>502</v>
      </c>
    </row>
    <row r="51" spans="1:74" ht="40.5" customHeight="1" x14ac:dyDescent="0.25">
      <c r="A51" s="104"/>
      <c r="B51" s="81" t="s">
        <v>138</v>
      </c>
      <c r="C51" s="303" t="s">
        <v>503</v>
      </c>
      <c r="D51" s="304"/>
      <c r="E51" s="304"/>
      <c r="F51" s="304"/>
      <c r="G51" s="304"/>
      <c r="H51" s="304"/>
      <c r="I51" s="304"/>
      <c r="J51" s="304"/>
      <c r="K51" s="304"/>
      <c r="L51" s="304"/>
      <c r="M51" s="305"/>
    </row>
    <row r="52" spans="1:74" x14ac:dyDescent="0.25">
      <c r="A52" s="92" t="s">
        <v>219</v>
      </c>
      <c r="B52" s="69" t="s">
        <v>504</v>
      </c>
      <c r="C52" s="306" t="s">
        <v>505</v>
      </c>
      <c r="D52" s="307"/>
      <c r="E52" s="69" t="s">
        <v>166</v>
      </c>
      <c r="F52" s="77">
        <v>209.82</v>
      </c>
      <c r="G52" s="218">
        <v>0</v>
      </c>
      <c r="H52" s="77">
        <f>F52*AM52</f>
        <v>0</v>
      </c>
      <c r="I52" s="77">
        <f>F52*AN52</f>
        <v>0</v>
      </c>
      <c r="J52" s="77">
        <f>F52*G52</f>
        <v>0</v>
      </c>
      <c r="K52" s="77">
        <v>0</v>
      </c>
      <c r="L52" s="77">
        <f>F52*K52</f>
        <v>0</v>
      </c>
      <c r="M52" s="103"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21</v>
      </c>
      <c r="AM52" s="77">
        <f>G52*0</f>
        <v>0</v>
      </c>
      <c r="AN52" s="77">
        <f>G52*(1-0)</f>
        <v>0</v>
      </c>
      <c r="AO52" s="79" t="s">
        <v>132</v>
      </c>
      <c r="AT52" s="77">
        <f>AU52+AV52</f>
        <v>0</v>
      </c>
      <c r="AU52" s="77">
        <f>F52*AM52</f>
        <v>0</v>
      </c>
      <c r="AV52" s="77">
        <f>F52*AN52</f>
        <v>0</v>
      </c>
      <c r="AW52" s="79" t="s">
        <v>212</v>
      </c>
      <c r="AX52" s="79" t="s">
        <v>147</v>
      </c>
      <c r="AY52" s="71" t="s">
        <v>137</v>
      </c>
      <c r="BA52" s="77">
        <f>AU52+AV52</f>
        <v>0</v>
      </c>
      <c r="BB52" s="77">
        <f>G52/(100-BC52)*100</f>
        <v>0</v>
      </c>
      <c r="BC52" s="77">
        <v>0</v>
      </c>
      <c r="BD52" s="77">
        <f>L52</f>
        <v>0</v>
      </c>
      <c r="BF52" s="77">
        <f>F52*AM52</f>
        <v>0</v>
      </c>
      <c r="BG52" s="77">
        <f>F52*AN52</f>
        <v>0</v>
      </c>
      <c r="BH52" s="77">
        <f>F52*G52</f>
        <v>0</v>
      </c>
      <c r="BI52" s="77"/>
      <c r="BJ52" s="77">
        <v>15</v>
      </c>
      <c r="BU52" s="77" t="e">
        <f>#REF!</f>
        <v>#REF!</v>
      </c>
      <c r="BV52" s="70" t="s">
        <v>505</v>
      </c>
    </row>
    <row r="53" spans="1:74" ht="40.5" customHeight="1" x14ac:dyDescent="0.25">
      <c r="A53" s="104"/>
      <c r="B53" s="81" t="s">
        <v>138</v>
      </c>
      <c r="C53" s="303" t="s">
        <v>506</v>
      </c>
      <c r="D53" s="304"/>
      <c r="E53" s="304"/>
      <c r="F53" s="304"/>
      <c r="G53" s="304"/>
      <c r="H53" s="304"/>
      <c r="I53" s="304"/>
      <c r="J53" s="304"/>
      <c r="K53" s="304"/>
      <c r="L53" s="304"/>
      <c r="M53" s="305"/>
    </row>
    <row r="54" spans="1:74" x14ac:dyDescent="0.25">
      <c r="A54" s="105" t="s">
        <v>129</v>
      </c>
      <c r="B54" s="74" t="s">
        <v>209</v>
      </c>
      <c r="C54" s="314" t="s">
        <v>218</v>
      </c>
      <c r="D54" s="315"/>
      <c r="E54" s="75" t="s">
        <v>87</v>
      </c>
      <c r="F54" s="75" t="s">
        <v>87</v>
      </c>
      <c r="G54" s="75" t="s">
        <v>87</v>
      </c>
      <c r="H54" s="67">
        <f>SUM(H55:H65)</f>
        <v>0</v>
      </c>
      <c r="I54" s="67">
        <f>SUM(I55:I65)</f>
        <v>0</v>
      </c>
      <c r="J54" s="67">
        <f>SUM(J55:J65)</f>
        <v>0</v>
      </c>
      <c r="K54" s="71" t="s">
        <v>129</v>
      </c>
      <c r="L54" s="67">
        <f>SUM(L55:L65)</f>
        <v>0</v>
      </c>
      <c r="M54" s="106" t="s">
        <v>129</v>
      </c>
      <c r="AG54" s="71" t="s">
        <v>129</v>
      </c>
      <c r="AQ54" s="67">
        <f>SUM(AH55:AH65)</f>
        <v>0</v>
      </c>
      <c r="AR54" s="67">
        <f>SUM(AI55:AI65)</f>
        <v>0</v>
      </c>
      <c r="AS54" s="67">
        <f>SUM(AJ55:AJ65)</f>
        <v>0</v>
      </c>
    </row>
    <row r="55" spans="1:74" x14ac:dyDescent="0.25">
      <c r="A55" s="92" t="s">
        <v>224</v>
      </c>
      <c r="B55" s="69" t="s">
        <v>220</v>
      </c>
      <c r="C55" s="306" t="s">
        <v>221</v>
      </c>
      <c r="D55" s="307"/>
      <c r="E55" s="69" t="s">
        <v>177</v>
      </c>
      <c r="F55" s="77">
        <v>10.96</v>
      </c>
      <c r="G55" s="218">
        <v>0</v>
      </c>
      <c r="H55" s="77">
        <f>F55*AM55</f>
        <v>0</v>
      </c>
      <c r="I55" s="77">
        <f>F55*AN55</f>
        <v>0</v>
      </c>
      <c r="J55" s="77">
        <f>F55*G55</f>
        <v>0</v>
      </c>
      <c r="K55" s="77">
        <v>0</v>
      </c>
      <c r="L55" s="77">
        <f>F55*K55</f>
        <v>0</v>
      </c>
      <c r="M55" s="103" t="s">
        <v>35</v>
      </c>
      <c r="X55" s="77">
        <f>IF(AO55="5",BH55,0)</f>
        <v>0</v>
      </c>
      <c r="Z55" s="77">
        <f>IF(AO55="1",BF55,0)</f>
        <v>0</v>
      </c>
      <c r="AA55" s="77">
        <f>IF(AO55="1",BG55,0)</f>
        <v>0</v>
      </c>
      <c r="AB55" s="77">
        <f>IF(AO55="7",BF55,0)</f>
        <v>0</v>
      </c>
      <c r="AC55" s="77">
        <f>IF(AO55="7",BG55,0)</f>
        <v>0</v>
      </c>
      <c r="AD55" s="77">
        <f>IF(AO55="2",BF55,0)</f>
        <v>0</v>
      </c>
      <c r="AE55" s="77">
        <f>IF(AO55="2",BG55,0)</f>
        <v>0</v>
      </c>
      <c r="AF55" s="77">
        <f>IF(AO55="0",BH55,0)</f>
        <v>0</v>
      </c>
      <c r="AG55" s="71" t="s">
        <v>129</v>
      </c>
      <c r="AH55" s="77">
        <f>IF(AL55=0,J55,0)</f>
        <v>0</v>
      </c>
      <c r="AI55" s="77">
        <f>IF(AL55=15,J55,0)</f>
        <v>0</v>
      </c>
      <c r="AJ55" s="77">
        <f>IF(AL55=21,J55,0)</f>
        <v>0</v>
      </c>
      <c r="AL55" s="77">
        <v>21</v>
      </c>
      <c r="AM55" s="77">
        <f>G55*0</f>
        <v>0</v>
      </c>
      <c r="AN55" s="77">
        <f>G55*(1-0)</f>
        <v>0</v>
      </c>
      <c r="AO55" s="79" t="s">
        <v>132</v>
      </c>
      <c r="AT55" s="77">
        <f>AU55+AV55</f>
        <v>0</v>
      </c>
      <c r="AU55" s="77">
        <f>F55*AM55</f>
        <v>0</v>
      </c>
      <c r="AV55" s="77">
        <f>F55*AN55</f>
        <v>0</v>
      </c>
      <c r="AW55" s="79" t="s">
        <v>222</v>
      </c>
      <c r="AX55" s="79" t="s">
        <v>147</v>
      </c>
      <c r="AY55" s="71" t="s">
        <v>137</v>
      </c>
      <c r="BA55" s="77">
        <f>AU55+AV55</f>
        <v>0</v>
      </c>
      <c r="BB55" s="77">
        <f>G55/(100-BC55)*100</f>
        <v>0</v>
      </c>
      <c r="BC55" s="77">
        <v>0</v>
      </c>
      <c r="BD55" s="77">
        <f>L55</f>
        <v>0</v>
      </c>
      <c r="BF55" s="77">
        <f>F55*AM55</f>
        <v>0</v>
      </c>
      <c r="BG55" s="77">
        <f>F55*AN55</f>
        <v>0</v>
      </c>
      <c r="BH55" s="77">
        <f>F55*G55</f>
        <v>0</v>
      </c>
      <c r="BI55" s="77"/>
      <c r="BJ55" s="77">
        <v>16</v>
      </c>
      <c r="BU55" s="77" t="e">
        <f>#REF!</f>
        <v>#REF!</v>
      </c>
      <c r="BV55" s="70" t="s">
        <v>221</v>
      </c>
    </row>
    <row r="56" spans="1:74" ht="54" customHeight="1" x14ac:dyDescent="0.25">
      <c r="A56" s="104"/>
      <c r="B56" s="81" t="s">
        <v>138</v>
      </c>
      <c r="C56" s="303" t="s">
        <v>507</v>
      </c>
      <c r="D56" s="304"/>
      <c r="E56" s="304"/>
      <c r="F56" s="304"/>
      <c r="G56" s="304"/>
      <c r="H56" s="304"/>
      <c r="I56" s="304"/>
      <c r="J56" s="304"/>
      <c r="K56" s="304"/>
      <c r="L56" s="304"/>
      <c r="M56" s="305"/>
    </row>
    <row r="57" spans="1:74" x14ac:dyDescent="0.25">
      <c r="A57" s="92" t="s">
        <v>228</v>
      </c>
      <c r="B57" s="69" t="s">
        <v>225</v>
      </c>
      <c r="C57" s="306" t="s">
        <v>226</v>
      </c>
      <c r="D57" s="307"/>
      <c r="E57" s="69" t="s">
        <v>177</v>
      </c>
      <c r="F57" s="77">
        <v>0.64</v>
      </c>
      <c r="G57" s="218">
        <v>0</v>
      </c>
      <c r="H57" s="77">
        <f>F57*AM57</f>
        <v>0</v>
      </c>
      <c r="I57" s="77">
        <f>F57*AN57</f>
        <v>0</v>
      </c>
      <c r="J57" s="77">
        <f>F57*G57</f>
        <v>0</v>
      </c>
      <c r="K57" s="77">
        <v>0</v>
      </c>
      <c r="L57" s="77">
        <f>F57*K57</f>
        <v>0</v>
      </c>
      <c r="M57" s="103" t="s">
        <v>35</v>
      </c>
      <c r="X57" s="77">
        <f>IF(AO57="5",BH57,0)</f>
        <v>0</v>
      </c>
      <c r="Z57" s="77">
        <f>IF(AO57="1",BF57,0)</f>
        <v>0</v>
      </c>
      <c r="AA57" s="77">
        <f>IF(AO57="1",BG57,0)</f>
        <v>0</v>
      </c>
      <c r="AB57" s="77">
        <f>IF(AO57="7",BF57,0)</f>
        <v>0</v>
      </c>
      <c r="AC57" s="77">
        <f>IF(AO57="7",BG57,0)</f>
        <v>0</v>
      </c>
      <c r="AD57" s="77">
        <f>IF(AO57="2",BF57,0)</f>
        <v>0</v>
      </c>
      <c r="AE57" s="77">
        <f>IF(AO57="2",BG57,0)</f>
        <v>0</v>
      </c>
      <c r="AF57" s="77">
        <f>IF(AO57="0",BH57,0)</f>
        <v>0</v>
      </c>
      <c r="AG57" s="71" t="s">
        <v>129</v>
      </c>
      <c r="AH57" s="77">
        <f>IF(AL57=0,J57,0)</f>
        <v>0</v>
      </c>
      <c r="AI57" s="77">
        <f>IF(AL57=15,J57,0)</f>
        <v>0</v>
      </c>
      <c r="AJ57" s="77">
        <f>IF(AL57=21,J57,0)</f>
        <v>0</v>
      </c>
      <c r="AL57" s="77">
        <v>21</v>
      </c>
      <c r="AM57" s="77">
        <f>G57*0</f>
        <v>0</v>
      </c>
      <c r="AN57" s="77">
        <f>G57*(1-0)</f>
        <v>0</v>
      </c>
      <c r="AO57" s="79" t="s">
        <v>132</v>
      </c>
      <c r="AT57" s="77">
        <f>AU57+AV57</f>
        <v>0</v>
      </c>
      <c r="AU57" s="77">
        <f>F57*AM57</f>
        <v>0</v>
      </c>
      <c r="AV57" s="77">
        <f>F57*AN57</f>
        <v>0</v>
      </c>
      <c r="AW57" s="79" t="s">
        <v>222</v>
      </c>
      <c r="AX57" s="79" t="s">
        <v>147</v>
      </c>
      <c r="AY57" s="71" t="s">
        <v>137</v>
      </c>
      <c r="BA57" s="77">
        <f>AU57+AV57</f>
        <v>0</v>
      </c>
      <c r="BB57" s="77">
        <f>G57/(100-BC57)*100</f>
        <v>0</v>
      </c>
      <c r="BC57" s="77">
        <v>0</v>
      </c>
      <c r="BD57" s="77">
        <f>L57</f>
        <v>0</v>
      </c>
      <c r="BF57" s="77">
        <f>F57*AM57</f>
        <v>0</v>
      </c>
      <c r="BG57" s="77">
        <f>F57*AN57</f>
        <v>0</v>
      </c>
      <c r="BH57" s="77">
        <f>F57*G57</f>
        <v>0</v>
      </c>
      <c r="BI57" s="77"/>
      <c r="BJ57" s="77">
        <v>16</v>
      </c>
      <c r="BU57" s="77" t="e">
        <f>#REF!</f>
        <v>#REF!</v>
      </c>
      <c r="BV57" s="70" t="s">
        <v>226</v>
      </c>
    </row>
    <row r="58" spans="1:74" ht="54" customHeight="1" x14ac:dyDescent="0.25">
      <c r="A58" s="104"/>
      <c r="B58" s="81" t="s">
        <v>138</v>
      </c>
      <c r="C58" s="303" t="s">
        <v>508</v>
      </c>
      <c r="D58" s="304"/>
      <c r="E58" s="304"/>
      <c r="F58" s="304"/>
      <c r="G58" s="304"/>
      <c r="H58" s="304"/>
      <c r="I58" s="304"/>
      <c r="J58" s="304"/>
      <c r="K58" s="304"/>
      <c r="L58" s="304"/>
      <c r="M58" s="305"/>
    </row>
    <row r="59" spans="1:74" x14ac:dyDescent="0.25">
      <c r="A59" s="92" t="s">
        <v>232</v>
      </c>
      <c r="B59" s="69" t="s">
        <v>229</v>
      </c>
      <c r="C59" s="306" t="s">
        <v>230</v>
      </c>
      <c r="D59" s="307"/>
      <c r="E59" s="69" t="s">
        <v>177</v>
      </c>
      <c r="F59" s="77">
        <v>95.35</v>
      </c>
      <c r="G59" s="218">
        <v>0</v>
      </c>
      <c r="H59" s="77">
        <f>F59*AM59</f>
        <v>0</v>
      </c>
      <c r="I59" s="77">
        <f>F59*AN59</f>
        <v>0</v>
      </c>
      <c r="J59" s="77">
        <f>F59*G59</f>
        <v>0</v>
      </c>
      <c r="K59" s="77">
        <v>0</v>
      </c>
      <c r="L59" s="77">
        <f>F59*K59</f>
        <v>0</v>
      </c>
      <c r="M59" s="103" t="s">
        <v>35</v>
      </c>
      <c r="X59" s="77">
        <f>IF(AO59="5",BH59,0)</f>
        <v>0</v>
      </c>
      <c r="Z59" s="77">
        <f>IF(AO59="1",BF59,0)</f>
        <v>0</v>
      </c>
      <c r="AA59" s="77">
        <f>IF(AO59="1",BG59,0)</f>
        <v>0</v>
      </c>
      <c r="AB59" s="77">
        <f>IF(AO59="7",BF59,0)</f>
        <v>0</v>
      </c>
      <c r="AC59" s="77">
        <f>IF(AO59="7",BG59,0)</f>
        <v>0</v>
      </c>
      <c r="AD59" s="77">
        <f>IF(AO59="2",BF59,0)</f>
        <v>0</v>
      </c>
      <c r="AE59" s="77">
        <f>IF(AO59="2",BG59,0)</f>
        <v>0</v>
      </c>
      <c r="AF59" s="77">
        <f>IF(AO59="0",BH59,0)</f>
        <v>0</v>
      </c>
      <c r="AG59" s="71" t="s">
        <v>129</v>
      </c>
      <c r="AH59" s="77">
        <f>IF(AL59=0,J59,0)</f>
        <v>0</v>
      </c>
      <c r="AI59" s="77">
        <f>IF(AL59=15,J59,0)</f>
        <v>0</v>
      </c>
      <c r="AJ59" s="77">
        <f>IF(AL59=21,J59,0)</f>
        <v>0</v>
      </c>
      <c r="AL59" s="77">
        <v>21</v>
      </c>
      <c r="AM59" s="77">
        <f>G59*0</f>
        <v>0</v>
      </c>
      <c r="AN59" s="77">
        <f>G59*(1-0)</f>
        <v>0</v>
      </c>
      <c r="AO59" s="79" t="s">
        <v>132</v>
      </c>
      <c r="AT59" s="77">
        <f>AU59+AV59</f>
        <v>0</v>
      </c>
      <c r="AU59" s="77">
        <f>F59*AM59</f>
        <v>0</v>
      </c>
      <c r="AV59" s="77">
        <f>F59*AN59</f>
        <v>0</v>
      </c>
      <c r="AW59" s="79" t="s">
        <v>222</v>
      </c>
      <c r="AX59" s="79" t="s">
        <v>147</v>
      </c>
      <c r="AY59" s="71" t="s">
        <v>137</v>
      </c>
      <c r="BA59" s="77">
        <f>AU59+AV59</f>
        <v>0</v>
      </c>
      <c r="BB59" s="77">
        <f>G59/(100-BC59)*100</f>
        <v>0</v>
      </c>
      <c r="BC59" s="77">
        <v>0</v>
      </c>
      <c r="BD59" s="77">
        <f>L59</f>
        <v>0</v>
      </c>
      <c r="BF59" s="77">
        <f>F59*AM59</f>
        <v>0</v>
      </c>
      <c r="BG59" s="77">
        <f>F59*AN59</f>
        <v>0</v>
      </c>
      <c r="BH59" s="77">
        <f>F59*G59</f>
        <v>0</v>
      </c>
      <c r="BI59" s="77"/>
      <c r="BJ59" s="77">
        <v>16</v>
      </c>
      <c r="BU59" s="77" t="e">
        <f>#REF!</f>
        <v>#REF!</v>
      </c>
      <c r="BV59" s="70" t="s">
        <v>230</v>
      </c>
    </row>
    <row r="60" spans="1:74" ht="67.5" customHeight="1" x14ac:dyDescent="0.25">
      <c r="A60" s="104"/>
      <c r="B60" s="81" t="s">
        <v>138</v>
      </c>
      <c r="C60" s="303" t="s">
        <v>509</v>
      </c>
      <c r="D60" s="304"/>
      <c r="E60" s="304"/>
      <c r="F60" s="304"/>
      <c r="G60" s="304"/>
      <c r="H60" s="304"/>
      <c r="I60" s="304"/>
      <c r="J60" s="304"/>
      <c r="K60" s="304"/>
      <c r="L60" s="304"/>
      <c r="M60" s="305"/>
    </row>
    <row r="61" spans="1:74" x14ac:dyDescent="0.25">
      <c r="A61" s="92" t="s">
        <v>236</v>
      </c>
      <c r="B61" s="69" t="s">
        <v>233</v>
      </c>
      <c r="C61" s="306" t="s">
        <v>234</v>
      </c>
      <c r="D61" s="307"/>
      <c r="E61" s="69" t="s">
        <v>177</v>
      </c>
      <c r="F61" s="77">
        <v>8</v>
      </c>
      <c r="G61" s="218">
        <v>0</v>
      </c>
      <c r="H61" s="77">
        <f>F61*AM61</f>
        <v>0</v>
      </c>
      <c r="I61" s="77">
        <f>F61*AN61</f>
        <v>0</v>
      </c>
      <c r="J61" s="77">
        <f>F61*G61</f>
        <v>0</v>
      </c>
      <c r="K61" s="77">
        <v>0</v>
      </c>
      <c r="L61" s="77">
        <f>F61*K61</f>
        <v>0</v>
      </c>
      <c r="M61" s="103" t="s">
        <v>35</v>
      </c>
      <c r="X61" s="77">
        <f>IF(AO61="5",BH61,0)</f>
        <v>0</v>
      </c>
      <c r="Z61" s="77">
        <f>IF(AO61="1",BF61,0)</f>
        <v>0</v>
      </c>
      <c r="AA61" s="77">
        <f>IF(AO61="1",BG61,0)</f>
        <v>0</v>
      </c>
      <c r="AB61" s="77">
        <f>IF(AO61="7",BF61,0)</f>
        <v>0</v>
      </c>
      <c r="AC61" s="77">
        <f>IF(AO61="7",BG61,0)</f>
        <v>0</v>
      </c>
      <c r="AD61" s="77">
        <f>IF(AO61="2",BF61,0)</f>
        <v>0</v>
      </c>
      <c r="AE61" s="77">
        <f>IF(AO61="2",BG61,0)</f>
        <v>0</v>
      </c>
      <c r="AF61" s="77">
        <f>IF(AO61="0",BH61,0)</f>
        <v>0</v>
      </c>
      <c r="AG61" s="71" t="s">
        <v>129</v>
      </c>
      <c r="AH61" s="77">
        <f>IF(AL61=0,J61,0)</f>
        <v>0</v>
      </c>
      <c r="AI61" s="77">
        <f>IF(AL61=15,J61,0)</f>
        <v>0</v>
      </c>
      <c r="AJ61" s="77">
        <f>IF(AL61=21,J61,0)</f>
        <v>0</v>
      </c>
      <c r="AL61" s="77">
        <v>21</v>
      </c>
      <c r="AM61" s="77">
        <f>G61*0</f>
        <v>0</v>
      </c>
      <c r="AN61" s="77">
        <f>G61*(1-0)</f>
        <v>0</v>
      </c>
      <c r="AO61" s="79" t="s">
        <v>132</v>
      </c>
      <c r="AT61" s="77">
        <f>AU61+AV61</f>
        <v>0</v>
      </c>
      <c r="AU61" s="77">
        <f>F61*AM61</f>
        <v>0</v>
      </c>
      <c r="AV61" s="77">
        <f>F61*AN61</f>
        <v>0</v>
      </c>
      <c r="AW61" s="79" t="s">
        <v>222</v>
      </c>
      <c r="AX61" s="79" t="s">
        <v>147</v>
      </c>
      <c r="AY61" s="71" t="s">
        <v>137</v>
      </c>
      <c r="BA61" s="77">
        <f>AU61+AV61</f>
        <v>0</v>
      </c>
      <c r="BB61" s="77">
        <f>G61/(100-BC61)*100</f>
        <v>0</v>
      </c>
      <c r="BC61" s="77">
        <v>0</v>
      </c>
      <c r="BD61" s="77">
        <f>L61</f>
        <v>0</v>
      </c>
      <c r="BF61" s="77">
        <f>F61*AM61</f>
        <v>0</v>
      </c>
      <c r="BG61" s="77">
        <f>F61*AN61</f>
        <v>0</v>
      </c>
      <c r="BH61" s="77">
        <f>F61*G61</f>
        <v>0</v>
      </c>
      <c r="BI61" s="77"/>
      <c r="BJ61" s="77">
        <v>16</v>
      </c>
      <c r="BU61" s="77" t="e">
        <f>#REF!</f>
        <v>#REF!</v>
      </c>
      <c r="BV61" s="70" t="s">
        <v>234</v>
      </c>
    </row>
    <row r="62" spans="1:74" ht="54" customHeight="1" thickBot="1" x14ac:dyDescent="0.3">
      <c r="A62" s="104"/>
      <c r="B62" s="81" t="s">
        <v>138</v>
      </c>
      <c r="C62" s="303" t="s">
        <v>510</v>
      </c>
      <c r="D62" s="304"/>
      <c r="E62" s="304"/>
      <c r="F62" s="304"/>
      <c r="G62" s="304"/>
      <c r="H62" s="304"/>
      <c r="I62" s="304"/>
      <c r="J62" s="304"/>
      <c r="K62" s="304"/>
      <c r="L62" s="304"/>
      <c r="M62" s="305"/>
    </row>
    <row r="63" spans="1:74" x14ac:dyDescent="0.25">
      <c r="A63" s="122" t="s">
        <v>240</v>
      </c>
      <c r="B63" s="109" t="s">
        <v>237</v>
      </c>
      <c r="C63" s="312" t="s">
        <v>238</v>
      </c>
      <c r="D63" s="313"/>
      <c r="E63" s="109" t="s">
        <v>177</v>
      </c>
      <c r="F63" s="123">
        <v>83.18</v>
      </c>
      <c r="G63" s="219">
        <v>0</v>
      </c>
      <c r="H63" s="123">
        <f>F63*AM63</f>
        <v>0</v>
      </c>
      <c r="I63" s="123">
        <f>F63*AN63</f>
        <v>0</v>
      </c>
      <c r="J63" s="123">
        <f>F63*G63</f>
        <v>0</v>
      </c>
      <c r="K63" s="123">
        <v>0</v>
      </c>
      <c r="L63" s="123">
        <f>F63*K63</f>
        <v>0</v>
      </c>
      <c r="M63" s="124" t="s">
        <v>35</v>
      </c>
      <c r="X63" s="77">
        <f>IF(AO63="5",BH63,0)</f>
        <v>0</v>
      </c>
      <c r="Z63" s="77">
        <f>IF(AO63="1",BF63,0)</f>
        <v>0</v>
      </c>
      <c r="AA63" s="77">
        <f>IF(AO63="1",BG63,0)</f>
        <v>0</v>
      </c>
      <c r="AB63" s="77">
        <f>IF(AO63="7",BF63,0)</f>
        <v>0</v>
      </c>
      <c r="AC63" s="77">
        <f>IF(AO63="7",BG63,0)</f>
        <v>0</v>
      </c>
      <c r="AD63" s="77">
        <f>IF(AO63="2",BF63,0)</f>
        <v>0</v>
      </c>
      <c r="AE63" s="77">
        <f>IF(AO63="2",BG63,0)</f>
        <v>0</v>
      </c>
      <c r="AF63" s="77">
        <f>IF(AO63="0",BH63,0)</f>
        <v>0</v>
      </c>
      <c r="AG63" s="71" t="s">
        <v>129</v>
      </c>
      <c r="AH63" s="77">
        <f>IF(AL63=0,J63,0)</f>
        <v>0</v>
      </c>
      <c r="AI63" s="77">
        <f>IF(AL63=15,J63,0)</f>
        <v>0</v>
      </c>
      <c r="AJ63" s="77">
        <f>IF(AL63=21,J63,0)</f>
        <v>0</v>
      </c>
      <c r="AL63" s="77">
        <v>21</v>
      </c>
      <c r="AM63" s="77">
        <f>G63*0</f>
        <v>0</v>
      </c>
      <c r="AN63" s="77">
        <f>G63*(1-0)</f>
        <v>0</v>
      </c>
      <c r="AO63" s="79" t="s">
        <v>132</v>
      </c>
      <c r="AT63" s="77">
        <f>AU63+AV63</f>
        <v>0</v>
      </c>
      <c r="AU63" s="77">
        <f>F63*AM63</f>
        <v>0</v>
      </c>
      <c r="AV63" s="77">
        <f>F63*AN63</f>
        <v>0</v>
      </c>
      <c r="AW63" s="79" t="s">
        <v>222</v>
      </c>
      <c r="AX63" s="79" t="s">
        <v>147</v>
      </c>
      <c r="AY63" s="71" t="s">
        <v>137</v>
      </c>
      <c r="BA63" s="77">
        <f>AU63+AV63</f>
        <v>0</v>
      </c>
      <c r="BB63" s="77">
        <f>G63/(100-BC63)*100</f>
        <v>0</v>
      </c>
      <c r="BC63" s="77">
        <v>0</v>
      </c>
      <c r="BD63" s="77">
        <f>L63</f>
        <v>0</v>
      </c>
      <c r="BF63" s="77">
        <f>F63*AM63</f>
        <v>0</v>
      </c>
      <c r="BG63" s="77">
        <f>F63*AN63</f>
        <v>0</v>
      </c>
      <c r="BH63" s="77">
        <f>F63*G63</f>
        <v>0</v>
      </c>
      <c r="BI63" s="77"/>
      <c r="BJ63" s="77">
        <v>16</v>
      </c>
      <c r="BU63" s="77" t="e">
        <f>#REF!</f>
        <v>#REF!</v>
      </c>
      <c r="BV63" s="70" t="s">
        <v>238</v>
      </c>
    </row>
    <row r="64" spans="1:74" ht="40.5" customHeight="1" x14ac:dyDescent="0.25">
      <c r="A64" s="104"/>
      <c r="B64" s="81" t="s">
        <v>138</v>
      </c>
      <c r="C64" s="303" t="s">
        <v>511</v>
      </c>
      <c r="D64" s="304"/>
      <c r="E64" s="304"/>
      <c r="F64" s="304"/>
      <c r="G64" s="304"/>
      <c r="H64" s="304"/>
      <c r="I64" s="304"/>
      <c r="J64" s="304"/>
      <c r="K64" s="304"/>
      <c r="L64" s="304"/>
      <c r="M64" s="305"/>
    </row>
    <row r="65" spans="1:74" x14ac:dyDescent="0.25">
      <c r="A65" s="92" t="s">
        <v>245</v>
      </c>
      <c r="B65" s="69" t="s">
        <v>241</v>
      </c>
      <c r="C65" s="306" t="s">
        <v>242</v>
      </c>
      <c r="D65" s="307"/>
      <c r="E65" s="69" t="s">
        <v>177</v>
      </c>
      <c r="F65" s="77">
        <v>83.18</v>
      </c>
      <c r="G65" s="218">
        <v>0</v>
      </c>
      <c r="H65" s="77">
        <f>F65*AM65</f>
        <v>0</v>
      </c>
      <c r="I65" s="77">
        <f>F65*AN65</f>
        <v>0</v>
      </c>
      <c r="J65" s="77">
        <f>F65*G65</f>
        <v>0</v>
      </c>
      <c r="K65" s="77">
        <v>0</v>
      </c>
      <c r="L65" s="77">
        <f>F65*K65</f>
        <v>0</v>
      </c>
      <c r="M65" s="103" t="s">
        <v>35</v>
      </c>
      <c r="X65" s="77">
        <f>IF(AO65="5",BH65,0)</f>
        <v>0</v>
      </c>
      <c r="Z65" s="77">
        <f>IF(AO65="1",BF65,0)</f>
        <v>0</v>
      </c>
      <c r="AA65" s="77">
        <f>IF(AO65="1",BG65,0)</f>
        <v>0</v>
      </c>
      <c r="AB65" s="77">
        <f>IF(AO65="7",BF65,0)</f>
        <v>0</v>
      </c>
      <c r="AC65" s="77">
        <f>IF(AO65="7",BG65,0)</f>
        <v>0</v>
      </c>
      <c r="AD65" s="77">
        <f>IF(AO65="2",BF65,0)</f>
        <v>0</v>
      </c>
      <c r="AE65" s="77">
        <f>IF(AO65="2",BG65,0)</f>
        <v>0</v>
      </c>
      <c r="AF65" s="77">
        <f>IF(AO65="0",BH65,0)</f>
        <v>0</v>
      </c>
      <c r="AG65" s="71" t="s">
        <v>129</v>
      </c>
      <c r="AH65" s="77">
        <f>IF(AL65=0,J65,0)</f>
        <v>0</v>
      </c>
      <c r="AI65" s="77">
        <f>IF(AL65=15,J65,0)</f>
        <v>0</v>
      </c>
      <c r="AJ65" s="77">
        <f>IF(AL65=21,J65,0)</f>
        <v>0</v>
      </c>
      <c r="AL65" s="77">
        <v>21</v>
      </c>
      <c r="AM65" s="77">
        <f>G65*0</f>
        <v>0</v>
      </c>
      <c r="AN65" s="77">
        <f>G65*(1-0)</f>
        <v>0</v>
      </c>
      <c r="AO65" s="79" t="s">
        <v>132</v>
      </c>
      <c r="AT65" s="77">
        <f>AU65+AV65</f>
        <v>0</v>
      </c>
      <c r="AU65" s="77">
        <f>F65*AM65</f>
        <v>0</v>
      </c>
      <c r="AV65" s="77">
        <f>F65*AN65</f>
        <v>0</v>
      </c>
      <c r="AW65" s="79" t="s">
        <v>222</v>
      </c>
      <c r="AX65" s="79" t="s">
        <v>147</v>
      </c>
      <c r="AY65" s="71" t="s">
        <v>137</v>
      </c>
      <c r="BA65" s="77">
        <f>AU65+AV65</f>
        <v>0</v>
      </c>
      <c r="BB65" s="77">
        <f>G65/(100-BC65)*100</f>
        <v>0</v>
      </c>
      <c r="BC65" s="77">
        <v>0</v>
      </c>
      <c r="BD65" s="77">
        <f>L65</f>
        <v>0</v>
      </c>
      <c r="BF65" s="77">
        <f>F65*AM65</f>
        <v>0</v>
      </c>
      <c r="BG65" s="77">
        <f>F65*AN65</f>
        <v>0</v>
      </c>
      <c r="BH65" s="77">
        <f>F65*G65</f>
        <v>0</v>
      </c>
      <c r="BI65" s="77"/>
      <c r="BJ65" s="77">
        <v>16</v>
      </c>
      <c r="BU65" s="77" t="e">
        <f>#REF!</f>
        <v>#REF!</v>
      </c>
      <c r="BV65" s="70" t="s">
        <v>242</v>
      </c>
    </row>
    <row r="66" spans="1:74" ht="40.5" customHeight="1" x14ac:dyDescent="0.25">
      <c r="A66" s="104"/>
      <c r="B66" s="81" t="s">
        <v>138</v>
      </c>
      <c r="C66" s="303" t="s">
        <v>512</v>
      </c>
      <c r="D66" s="304"/>
      <c r="E66" s="304"/>
      <c r="F66" s="304"/>
      <c r="G66" s="304"/>
      <c r="H66" s="304"/>
      <c r="I66" s="304"/>
      <c r="J66" s="304"/>
      <c r="K66" s="304"/>
      <c r="L66" s="304"/>
      <c r="M66" s="305"/>
    </row>
    <row r="67" spans="1:74" x14ac:dyDescent="0.25">
      <c r="A67" s="105" t="s">
        <v>129</v>
      </c>
      <c r="B67" s="74" t="s">
        <v>214</v>
      </c>
      <c r="C67" s="314" t="s">
        <v>244</v>
      </c>
      <c r="D67" s="315"/>
      <c r="E67" s="75" t="s">
        <v>87</v>
      </c>
      <c r="F67" s="75" t="s">
        <v>87</v>
      </c>
      <c r="G67" s="75" t="s">
        <v>87</v>
      </c>
      <c r="H67" s="67">
        <f>SUM(H68:H71)</f>
        <v>0</v>
      </c>
      <c r="I67" s="67">
        <f>SUM(I68:I71)</f>
        <v>0</v>
      </c>
      <c r="J67" s="67">
        <f>SUM(J68:J71)</f>
        <v>0</v>
      </c>
      <c r="K67" s="71" t="s">
        <v>129</v>
      </c>
      <c r="L67" s="67">
        <f>SUM(L68:L71)</f>
        <v>78.284999999999997</v>
      </c>
      <c r="M67" s="106" t="s">
        <v>129</v>
      </c>
      <c r="AG67" s="71" t="s">
        <v>129</v>
      </c>
      <c r="AQ67" s="67">
        <f>SUM(AH68:AH71)</f>
        <v>0</v>
      </c>
      <c r="AR67" s="67">
        <f>SUM(AI68:AI71)</f>
        <v>0</v>
      </c>
      <c r="AS67" s="67">
        <f>SUM(AJ68:AJ71)</f>
        <v>0</v>
      </c>
    </row>
    <row r="68" spans="1:74" x14ac:dyDescent="0.25">
      <c r="A68" s="92" t="s">
        <v>250</v>
      </c>
      <c r="B68" s="69" t="s">
        <v>246</v>
      </c>
      <c r="C68" s="306" t="s">
        <v>247</v>
      </c>
      <c r="D68" s="307"/>
      <c r="E68" s="69" t="s">
        <v>177</v>
      </c>
      <c r="F68" s="77">
        <v>46.05</v>
      </c>
      <c r="G68" s="218">
        <v>0</v>
      </c>
      <c r="H68" s="77">
        <f>F68*AM68</f>
        <v>0</v>
      </c>
      <c r="I68" s="77">
        <f>F68*AN68</f>
        <v>0</v>
      </c>
      <c r="J68" s="77">
        <f>F68*G68</f>
        <v>0</v>
      </c>
      <c r="K68" s="77">
        <v>1.7</v>
      </c>
      <c r="L68" s="77">
        <f>F68*K68</f>
        <v>78.284999999999997</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21</v>
      </c>
      <c r="AM68" s="77">
        <f>G68*0.51297571</f>
        <v>0</v>
      </c>
      <c r="AN68" s="77">
        <f>G68*(1-0.51297571)</f>
        <v>0</v>
      </c>
      <c r="AO68" s="79" t="s">
        <v>132</v>
      </c>
      <c r="AT68" s="77">
        <f>AU68+AV68</f>
        <v>0</v>
      </c>
      <c r="AU68" s="77">
        <f>F68*AM68</f>
        <v>0</v>
      </c>
      <c r="AV68" s="77">
        <f>F68*AN68</f>
        <v>0</v>
      </c>
      <c r="AW68" s="79" t="s">
        <v>248</v>
      </c>
      <c r="AX68" s="79" t="s">
        <v>147</v>
      </c>
      <c r="AY68" s="71" t="s">
        <v>137</v>
      </c>
      <c r="BA68" s="77">
        <f>AU68+AV68</f>
        <v>0</v>
      </c>
      <c r="BB68" s="77">
        <f>G68/(100-BC68)*100</f>
        <v>0</v>
      </c>
      <c r="BC68" s="77">
        <v>0</v>
      </c>
      <c r="BD68" s="77">
        <f>L68</f>
        <v>78.284999999999997</v>
      </c>
      <c r="BF68" s="77">
        <f>F68*AM68</f>
        <v>0</v>
      </c>
      <c r="BG68" s="77">
        <f>F68*AN68</f>
        <v>0</v>
      </c>
      <c r="BH68" s="77">
        <f>F68*G68</f>
        <v>0</v>
      </c>
      <c r="BI68" s="77"/>
      <c r="BJ68" s="77">
        <v>17</v>
      </c>
      <c r="BU68" s="77" t="e">
        <f>#REF!</f>
        <v>#REF!</v>
      </c>
      <c r="BV68" s="70" t="s">
        <v>247</v>
      </c>
    </row>
    <row r="69" spans="1:74" ht="67.5" customHeight="1" x14ac:dyDescent="0.25">
      <c r="A69" s="104"/>
      <c r="B69" s="81" t="s">
        <v>138</v>
      </c>
      <c r="C69" s="303" t="s">
        <v>513</v>
      </c>
      <c r="D69" s="304"/>
      <c r="E69" s="304"/>
      <c r="F69" s="304"/>
      <c r="G69" s="304"/>
      <c r="H69" s="304"/>
      <c r="I69" s="304"/>
      <c r="J69" s="304"/>
      <c r="K69" s="304"/>
      <c r="L69" s="304"/>
      <c r="M69" s="305"/>
    </row>
    <row r="70" spans="1:74" x14ac:dyDescent="0.25">
      <c r="A70" s="92" t="s">
        <v>253</v>
      </c>
      <c r="B70" s="69" t="s">
        <v>251</v>
      </c>
      <c r="C70" s="306" t="s">
        <v>252</v>
      </c>
      <c r="D70" s="307"/>
      <c r="E70" s="69" t="s">
        <v>177</v>
      </c>
      <c r="F70" s="77">
        <v>46.05</v>
      </c>
      <c r="G70" s="218">
        <v>0</v>
      </c>
      <c r="H70" s="77">
        <f>F70*AM70</f>
        <v>0</v>
      </c>
      <c r="I70" s="77">
        <f>F70*AN70</f>
        <v>0</v>
      </c>
      <c r="J70" s="77">
        <f>F70*G70</f>
        <v>0</v>
      </c>
      <c r="K70" s="77">
        <v>0</v>
      </c>
      <c r="L70" s="77">
        <f>F70*K70</f>
        <v>0</v>
      </c>
      <c r="M70" s="103" t="s">
        <v>35</v>
      </c>
      <c r="X70" s="77">
        <f>IF(AO70="5",BH70,0)</f>
        <v>0</v>
      </c>
      <c r="Z70" s="77">
        <f>IF(AO70="1",BF70,0)</f>
        <v>0</v>
      </c>
      <c r="AA70" s="77">
        <f>IF(AO70="1",BG70,0)</f>
        <v>0</v>
      </c>
      <c r="AB70" s="77">
        <f>IF(AO70="7",BF70,0)</f>
        <v>0</v>
      </c>
      <c r="AC70" s="77">
        <f>IF(AO70="7",BG70,0)</f>
        <v>0</v>
      </c>
      <c r="AD70" s="77">
        <f>IF(AO70="2",BF70,0)</f>
        <v>0</v>
      </c>
      <c r="AE70" s="77">
        <f>IF(AO70="2",BG70,0)</f>
        <v>0</v>
      </c>
      <c r="AF70" s="77">
        <f>IF(AO70="0",BH70,0)</f>
        <v>0</v>
      </c>
      <c r="AG70" s="71" t="s">
        <v>129</v>
      </c>
      <c r="AH70" s="77">
        <f>IF(AL70=0,J70,0)</f>
        <v>0</v>
      </c>
      <c r="AI70" s="77">
        <f>IF(AL70=15,J70,0)</f>
        <v>0</v>
      </c>
      <c r="AJ70" s="77">
        <f>IF(AL70=21,J70,0)</f>
        <v>0</v>
      </c>
      <c r="AL70" s="77">
        <v>21</v>
      </c>
      <c r="AM70" s="77">
        <f>G70*0</f>
        <v>0</v>
      </c>
      <c r="AN70" s="77">
        <f>G70*(1-0)</f>
        <v>0</v>
      </c>
      <c r="AO70" s="79" t="s">
        <v>132</v>
      </c>
      <c r="AT70" s="77">
        <f>AU70+AV70</f>
        <v>0</v>
      </c>
      <c r="AU70" s="77">
        <f>F70*AM70</f>
        <v>0</v>
      </c>
      <c r="AV70" s="77">
        <f>F70*AN70</f>
        <v>0</v>
      </c>
      <c r="AW70" s="79" t="s">
        <v>248</v>
      </c>
      <c r="AX70" s="79" t="s">
        <v>147</v>
      </c>
      <c r="AY70" s="71" t="s">
        <v>137</v>
      </c>
      <c r="BA70" s="77">
        <f>AU70+AV70</f>
        <v>0</v>
      </c>
      <c r="BB70" s="77">
        <f>G70/(100-BC70)*100</f>
        <v>0</v>
      </c>
      <c r="BC70" s="77">
        <v>0</v>
      </c>
      <c r="BD70" s="77">
        <f>L70</f>
        <v>0</v>
      </c>
      <c r="BF70" s="77">
        <f>F70*AM70</f>
        <v>0</v>
      </c>
      <c r="BG70" s="77">
        <f>F70*AN70</f>
        <v>0</v>
      </c>
      <c r="BH70" s="77">
        <f>F70*G70</f>
        <v>0</v>
      </c>
      <c r="BI70" s="77"/>
      <c r="BJ70" s="77">
        <v>17</v>
      </c>
      <c r="BU70" s="77" t="e">
        <f>#REF!</f>
        <v>#REF!</v>
      </c>
      <c r="BV70" s="70" t="s">
        <v>252</v>
      </c>
    </row>
    <row r="71" spans="1:74" x14ac:dyDescent="0.25">
      <c r="A71" s="92" t="s">
        <v>258</v>
      </c>
      <c r="B71" s="69" t="s">
        <v>254</v>
      </c>
      <c r="C71" s="306" t="s">
        <v>255</v>
      </c>
      <c r="D71" s="307"/>
      <c r="E71" s="69" t="s">
        <v>177</v>
      </c>
      <c r="F71" s="77">
        <v>41.59</v>
      </c>
      <c r="G71" s="218">
        <v>0</v>
      </c>
      <c r="H71" s="77">
        <f>F71*AM71</f>
        <v>0</v>
      </c>
      <c r="I71" s="77">
        <f>F71*AN71</f>
        <v>0</v>
      </c>
      <c r="J71" s="77">
        <f>F71*G71</f>
        <v>0</v>
      </c>
      <c r="K71" s="77">
        <v>0</v>
      </c>
      <c r="L71" s="77">
        <f>F71*K71</f>
        <v>0</v>
      </c>
      <c r="M71" s="103" t="s">
        <v>35</v>
      </c>
      <c r="X71" s="77">
        <f>IF(AO71="5",BH71,0)</f>
        <v>0</v>
      </c>
      <c r="Z71" s="77">
        <f>IF(AO71="1",BF71,0)</f>
        <v>0</v>
      </c>
      <c r="AA71" s="77">
        <f>IF(AO71="1",BG71,0)</f>
        <v>0</v>
      </c>
      <c r="AB71" s="77">
        <f>IF(AO71="7",BF71,0)</f>
        <v>0</v>
      </c>
      <c r="AC71" s="77">
        <f>IF(AO71="7",BG71,0)</f>
        <v>0</v>
      </c>
      <c r="AD71" s="77">
        <f>IF(AO71="2",BF71,0)</f>
        <v>0</v>
      </c>
      <c r="AE71" s="77">
        <f>IF(AO71="2",BG71,0)</f>
        <v>0</v>
      </c>
      <c r="AF71" s="77">
        <f>IF(AO71="0",BH71,0)</f>
        <v>0</v>
      </c>
      <c r="AG71" s="71" t="s">
        <v>129</v>
      </c>
      <c r="AH71" s="77">
        <f>IF(AL71=0,J71,0)</f>
        <v>0</v>
      </c>
      <c r="AI71" s="77">
        <f>IF(AL71=15,J71,0)</f>
        <v>0</v>
      </c>
      <c r="AJ71" s="77">
        <f>IF(AL71=21,J71,0)</f>
        <v>0</v>
      </c>
      <c r="AL71" s="77">
        <v>21</v>
      </c>
      <c r="AM71" s="77">
        <f>G71*0</f>
        <v>0</v>
      </c>
      <c r="AN71" s="77">
        <f>G71*(1-0)</f>
        <v>0</v>
      </c>
      <c r="AO71" s="79" t="s">
        <v>132</v>
      </c>
      <c r="AT71" s="77">
        <f>AU71+AV71</f>
        <v>0</v>
      </c>
      <c r="AU71" s="77">
        <f>F71*AM71</f>
        <v>0</v>
      </c>
      <c r="AV71" s="77">
        <f>F71*AN71</f>
        <v>0</v>
      </c>
      <c r="AW71" s="79" t="s">
        <v>248</v>
      </c>
      <c r="AX71" s="79" t="s">
        <v>147</v>
      </c>
      <c r="AY71" s="71" t="s">
        <v>137</v>
      </c>
      <c r="BA71" s="77">
        <f>AU71+AV71</f>
        <v>0</v>
      </c>
      <c r="BB71" s="77">
        <f>G71/(100-BC71)*100</f>
        <v>0</v>
      </c>
      <c r="BC71" s="77">
        <v>0</v>
      </c>
      <c r="BD71" s="77">
        <f>L71</f>
        <v>0</v>
      </c>
      <c r="BF71" s="77">
        <f>F71*AM71</f>
        <v>0</v>
      </c>
      <c r="BG71" s="77">
        <f>F71*AN71</f>
        <v>0</v>
      </c>
      <c r="BH71" s="77">
        <f>F71*G71</f>
        <v>0</v>
      </c>
      <c r="BI71" s="77"/>
      <c r="BJ71" s="77">
        <v>17</v>
      </c>
      <c r="BU71" s="77" t="e">
        <f>#REF!</f>
        <v>#REF!</v>
      </c>
      <c r="BV71" s="70" t="s">
        <v>255</v>
      </c>
    </row>
    <row r="72" spans="1:74" ht="54" customHeight="1" x14ac:dyDescent="0.25">
      <c r="A72" s="104"/>
      <c r="B72" s="81" t="s">
        <v>138</v>
      </c>
      <c r="C72" s="303" t="s">
        <v>514</v>
      </c>
      <c r="D72" s="304"/>
      <c r="E72" s="304"/>
      <c r="F72" s="304"/>
      <c r="G72" s="304"/>
      <c r="H72" s="304"/>
      <c r="I72" s="304"/>
      <c r="J72" s="304"/>
      <c r="K72" s="304"/>
      <c r="L72" s="304"/>
      <c r="M72" s="305"/>
    </row>
    <row r="73" spans="1:74" x14ac:dyDescent="0.25">
      <c r="A73" s="105" t="s">
        <v>129</v>
      </c>
      <c r="B73" s="74" t="s">
        <v>224</v>
      </c>
      <c r="C73" s="314" t="s">
        <v>257</v>
      </c>
      <c r="D73" s="315"/>
      <c r="E73" s="75" t="s">
        <v>87</v>
      </c>
      <c r="F73" s="75" t="s">
        <v>87</v>
      </c>
      <c r="G73" s="75" t="s">
        <v>87</v>
      </c>
      <c r="H73" s="67">
        <f>SUM(H74:H76)</f>
        <v>0</v>
      </c>
      <c r="I73" s="67">
        <f>SUM(I74:I76)</f>
        <v>0</v>
      </c>
      <c r="J73" s="67">
        <f>SUM(J74:J76)</f>
        <v>0</v>
      </c>
      <c r="K73" s="71" t="s">
        <v>129</v>
      </c>
      <c r="L73" s="67">
        <f>SUM(L74:L76)</f>
        <v>0</v>
      </c>
      <c r="M73" s="106" t="s">
        <v>129</v>
      </c>
      <c r="AG73" s="71" t="s">
        <v>129</v>
      </c>
      <c r="AQ73" s="67">
        <f>SUM(AH74:AH76)</f>
        <v>0</v>
      </c>
      <c r="AR73" s="67">
        <f>SUM(AI74:AI76)</f>
        <v>0</v>
      </c>
      <c r="AS73" s="67">
        <f>SUM(AJ74:AJ76)</f>
        <v>0</v>
      </c>
    </row>
    <row r="74" spans="1:74" x14ac:dyDescent="0.25">
      <c r="A74" s="92" t="s">
        <v>263</v>
      </c>
      <c r="B74" s="69" t="s">
        <v>259</v>
      </c>
      <c r="C74" s="306" t="s">
        <v>260</v>
      </c>
      <c r="D74" s="307"/>
      <c r="E74" s="69" t="s">
        <v>177</v>
      </c>
      <c r="F74" s="77">
        <v>95.35</v>
      </c>
      <c r="G74" s="218">
        <v>0</v>
      </c>
      <c r="H74" s="77">
        <f>F74*AM74</f>
        <v>0</v>
      </c>
      <c r="I74" s="77">
        <f>F74*AN74</f>
        <v>0</v>
      </c>
      <c r="J74" s="77">
        <f>F74*G74</f>
        <v>0</v>
      </c>
      <c r="K74" s="77">
        <v>0</v>
      </c>
      <c r="L74" s="77">
        <f>F74*K74</f>
        <v>0</v>
      </c>
      <c r="M74" s="103" t="s">
        <v>35</v>
      </c>
      <c r="X74" s="77">
        <f>IF(AO74="5",BH74,0)</f>
        <v>0</v>
      </c>
      <c r="Z74" s="77">
        <f>IF(AO74="1",BF74,0)</f>
        <v>0</v>
      </c>
      <c r="AA74" s="77">
        <f>IF(AO74="1",BG74,0)</f>
        <v>0</v>
      </c>
      <c r="AB74" s="77">
        <f>IF(AO74="7",BF74,0)</f>
        <v>0</v>
      </c>
      <c r="AC74" s="77">
        <f>IF(AO74="7",BG74,0)</f>
        <v>0</v>
      </c>
      <c r="AD74" s="77">
        <f>IF(AO74="2",BF74,0)</f>
        <v>0</v>
      </c>
      <c r="AE74" s="77">
        <f>IF(AO74="2",BG74,0)</f>
        <v>0</v>
      </c>
      <c r="AF74" s="77">
        <f>IF(AO74="0",BH74,0)</f>
        <v>0</v>
      </c>
      <c r="AG74" s="71" t="s">
        <v>129</v>
      </c>
      <c r="AH74" s="77">
        <f>IF(AL74=0,J74,0)</f>
        <v>0</v>
      </c>
      <c r="AI74" s="77">
        <f>IF(AL74=15,J74,0)</f>
        <v>0</v>
      </c>
      <c r="AJ74" s="77">
        <f>IF(AL74=21,J74,0)</f>
        <v>0</v>
      </c>
      <c r="AL74" s="77">
        <v>21</v>
      </c>
      <c r="AM74" s="77">
        <f>G74*0</f>
        <v>0</v>
      </c>
      <c r="AN74" s="77">
        <f>G74*(1-0)</f>
        <v>0</v>
      </c>
      <c r="AO74" s="79" t="s">
        <v>132</v>
      </c>
      <c r="AT74" s="77">
        <f>AU74+AV74</f>
        <v>0</v>
      </c>
      <c r="AU74" s="77">
        <f>F74*AM74</f>
        <v>0</v>
      </c>
      <c r="AV74" s="77">
        <f>F74*AN74</f>
        <v>0</v>
      </c>
      <c r="AW74" s="79" t="s">
        <v>261</v>
      </c>
      <c r="AX74" s="79" t="s">
        <v>147</v>
      </c>
      <c r="AY74" s="71" t="s">
        <v>137</v>
      </c>
      <c r="BA74" s="77">
        <f>AU74+AV74</f>
        <v>0</v>
      </c>
      <c r="BB74" s="77">
        <f>G74/(100-BC74)*100</f>
        <v>0</v>
      </c>
      <c r="BC74" s="77">
        <v>0</v>
      </c>
      <c r="BD74" s="77">
        <f>L74</f>
        <v>0</v>
      </c>
      <c r="BF74" s="77">
        <f>F74*AM74</f>
        <v>0</v>
      </c>
      <c r="BG74" s="77">
        <f>F74*AN74</f>
        <v>0</v>
      </c>
      <c r="BH74" s="77">
        <f>F74*G74</f>
        <v>0</v>
      </c>
      <c r="BI74" s="77"/>
      <c r="BJ74" s="77">
        <v>19</v>
      </c>
      <c r="BU74" s="77" t="e">
        <f>#REF!</f>
        <v>#REF!</v>
      </c>
      <c r="BV74" s="70" t="s">
        <v>260</v>
      </c>
    </row>
    <row r="75" spans="1:74" ht="13.5" customHeight="1" x14ac:dyDescent="0.25">
      <c r="A75" s="104"/>
      <c r="B75" s="81" t="s">
        <v>138</v>
      </c>
      <c r="C75" s="303" t="s">
        <v>515</v>
      </c>
      <c r="D75" s="304"/>
      <c r="E75" s="304"/>
      <c r="F75" s="304"/>
      <c r="G75" s="304"/>
      <c r="H75" s="304"/>
      <c r="I75" s="304"/>
      <c r="J75" s="304"/>
      <c r="K75" s="304"/>
      <c r="L75" s="304"/>
      <c r="M75" s="305"/>
    </row>
    <row r="76" spans="1:74" x14ac:dyDescent="0.25">
      <c r="A76" s="92" t="s">
        <v>268</v>
      </c>
      <c r="B76" s="69" t="s">
        <v>264</v>
      </c>
      <c r="C76" s="306" t="s">
        <v>265</v>
      </c>
      <c r="D76" s="307"/>
      <c r="E76" s="69" t="s">
        <v>177</v>
      </c>
      <c r="F76" s="77">
        <v>8</v>
      </c>
      <c r="G76" s="218">
        <v>0</v>
      </c>
      <c r="H76" s="77">
        <f>F76*AM76</f>
        <v>0</v>
      </c>
      <c r="I76" s="77">
        <f>F76*AN76</f>
        <v>0</v>
      </c>
      <c r="J76" s="77">
        <f>F76*G76</f>
        <v>0</v>
      </c>
      <c r="K76" s="77">
        <v>0</v>
      </c>
      <c r="L76" s="77">
        <f>F76*K76</f>
        <v>0</v>
      </c>
      <c r="M76" s="103" t="s">
        <v>35</v>
      </c>
      <c r="X76" s="77">
        <f>IF(AO76="5",BH76,0)</f>
        <v>0</v>
      </c>
      <c r="Z76" s="77">
        <f>IF(AO76="1",BF76,0)</f>
        <v>0</v>
      </c>
      <c r="AA76" s="77">
        <f>IF(AO76="1",BG76,0)</f>
        <v>0</v>
      </c>
      <c r="AB76" s="77">
        <f>IF(AO76="7",BF76,0)</f>
        <v>0</v>
      </c>
      <c r="AC76" s="77">
        <f>IF(AO76="7",BG76,0)</f>
        <v>0</v>
      </c>
      <c r="AD76" s="77">
        <f>IF(AO76="2",BF76,0)</f>
        <v>0</v>
      </c>
      <c r="AE76" s="77">
        <f>IF(AO76="2",BG76,0)</f>
        <v>0</v>
      </c>
      <c r="AF76" s="77">
        <f>IF(AO76="0",BH76,0)</f>
        <v>0</v>
      </c>
      <c r="AG76" s="71" t="s">
        <v>129</v>
      </c>
      <c r="AH76" s="77">
        <f>IF(AL76=0,J76,0)</f>
        <v>0</v>
      </c>
      <c r="AI76" s="77">
        <f>IF(AL76=15,J76,0)</f>
        <v>0</v>
      </c>
      <c r="AJ76" s="77">
        <f>IF(AL76=21,J76,0)</f>
        <v>0</v>
      </c>
      <c r="AL76" s="77">
        <v>21</v>
      </c>
      <c r="AM76" s="77">
        <f>G76*0</f>
        <v>0</v>
      </c>
      <c r="AN76" s="77">
        <f>G76*(1-0)</f>
        <v>0</v>
      </c>
      <c r="AO76" s="79" t="s">
        <v>132</v>
      </c>
      <c r="AT76" s="77">
        <f>AU76+AV76</f>
        <v>0</v>
      </c>
      <c r="AU76" s="77">
        <f>F76*AM76</f>
        <v>0</v>
      </c>
      <c r="AV76" s="77">
        <f>F76*AN76</f>
        <v>0</v>
      </c>
      <c r="AW76" s="79" t="s">
        <v>261</v>
      </c>
      <c r="AX76" s="79" t="s">
        <v>147</v>
      </c>
      <c r="AY76" s="71" t="s">
        <v>137</v>
      </c>
      <c r="BA76" s="77">
        <f>AU76+AV76</f>
        <v>0</v>
      </c>
      <c r="BB76" s="77">
        <f>G76/(100-BC76)*100</f>
        <v>0</v>
      </c>
      <c r="BC76" s="77">
        <v>0</v>
      </c>
      <c r="BD76" s="77">
        <f>L76</f>
        <v>0</v>
      </c>
      <c r="BF76" s="77">
        <f>F76*AM76</f>
        <v>0</v>
      </c>
      <c r="BG76" s="77">
        <f>F76*AN76</f>
        <v>0</v>
      </c>
      <c r="BH76" s="77">
        <f>F76*G76</f>
        <v>0</v>
      </c>
      <c r="BI76" s="77"/>
      <c r="BJ76" s="77">
        <v>19</v>
      </c>
      <c r="BU76" s="77" t="e">
        <f>#REF!</f>
        <v>#REF!</v>
      </c>
      <c r="BV76" s="70" t="s">
        <v>265</v>
      </c>
    </row>
    <row r="77" spans="1:74" ht="13.5" customHeight="1" x14ac:dyDescent="0.25">
      <c r="A77" s="104"/>
      <c r="B77" s="81" t="s">
        <v>138</v>
      </c>
      <c r="C77" s="303" t="s">
        <v>515</v>
      </c>
      <c r="D77" s="304"/>
      <c r="E77" s="304"/>
      <c r="F77" s="304"/>
      <c r="G77" s="304"/>
      <c r="H77" s="304"/>
      <c r="I77" s="304"/>
      <c r="J77" s="304"/>
      <c r="K77" s="304"/>
      <c r="L77" s="304"/>
      <c r="M77" s="305"/>
    </row>
    <row r="78" spans="1:74" x14ac:dyDescent="0.25">
      <c r="A78" s="105" t="s">
        <v>129</v>
      </c>
      <c r="B78" s="74" t="s">
        <v>232</v>
      </c>
      <c r="C78" s="314" t="s">
        <v>267</v>
      </c>
      <c r="D78" s="315"/>
      <c r="E78" s="75" t="s">
        <v>87</v>
      </c>
      <c r="F78" s="75" t="s">
        <v>87</v>
      </c>
      <c r="G78" s="75" t="s">
        <v>87</v>
      </c>
      <c r="H78" s="67">
        <f>SUM(H79:H81)</f>
        <v>0</v>
      </c>
      <c r="I78" s="67">
        <f>SUM(I79:I81)</f>
        <v>0</v>
      </c>
      <c r="J78" s="67">
        <f>SUM(J79:J81)</f>
        <v>0</v>
      </c>
      <c r="K78" s="71" t="s">
        <v>129</v>
      </c>
      <c r="L78" s="67">
        <f>SUM(L79:L81)</f>
        <v>4.3625000000000007</v>
      </c>
      <c r="M78" s="106" t="s">
        <v>129</v>
      </c>
      <c r="AG78" s="71" t="s">
        <v>129</v>
      </c>
      <c r="AQ78" s="67">
        <f>SUM(AH79:AH81)</f>
        <v>0</v>
      </c>
      <c r="AR78" s="67">
        <f>SUM(AI79:AI81)</f>
        <v>0</v>
      </c>
      <c r="AS78" s="67">
        <f>SUM(AJ79:AJ81)</f>
        <v>0</v>
      </c>
    </row>
    <row r="79" spans="1:74" x14ac:dyDescent="0.25">
      <c r="A79" s="92" t="s">
        <v>274</v>
      </c>
      <c r="B79" s="69" t="s">
        <v>269</v>
      </c>
      <c r="C79" s="306" t="s">
        <v>270</v>
      </c>
      <c r="D79" s="307"/>
      <c r="E79" s="69" t="s">
        <v>166</v>
      </c>
      <c r="F79" s="77">
        <v>95.63</v>
      </c>
      <c r="G79" s="218">
        <v>0</v>
      </c>
      <c r="H79" s="77">
        <f>F79*AM79</f>
        <v>0</v>
      </c>
      <c r="I79" s="77">
        <f>F79*AN79</f>
        <v>0</v>
      </c>
      <c r="J79" s="77">
        <f>F79*G79</f>
        <v>0</v>
      </c>
      <c r="K79" s="77">
        <v>0</v>
      </c>
      <c r="L79" s="77">
        <f>F79*K79</f>
        <v>0</v>
      </c>
      <c r="M79" s="103" t="s">
        <v>35</v>
      </c>
      <c r="X79" s="77">
        <f>IF(AO79="5",BH79,0)</f>
        <v>0</v>
      </c>
      <c r="Z79" s="77">
        <f>IF(AO79="1",BF79,0)</f>
        <v>0</v>
      </c>
      <c r="AA79" s="77">
        <f>IF(AO79="1",BG79,0)</f>
        <v>0</v>
      </c>
      <c r="AB79" s="77">
        <f>IF(AO79="7",BF79,0)</f>
        <v>0</v>
      </c>
      <c r="AC79" s="77">
        <f>IF(AO79="7",BG79,0)</f>
        <v>0</v>
      </c>
      <c r="AD79" s="77">
        <f>IF(AO79="2",BF79,0)</f>
        <v>0</v>
      </c>
      <c r="AE79" s="77">
        <f>IF(AO79="2",BG79,0)</f>
        <v>0</v>
      </c>
      <c r="AF79" s="77">
        <f>IF(AO79="0",BH79,0)</f>
        <v>0</v>
      </c>
      <c r="AG79" s="71" t="s">
        <v>129</v>
      </c>
      <c r="AH79" s="77">
        <f>IF(AL79=0,J79,0)</f>
        <v>0</v>
      </c>
      <c r="AI79" s="77">
        <f>IF(AL79=15,J79,0)</f>
        <v>0</v>
      </c>
      <c r="AJ79" s="77">
        <f>IF(AL79=21,J79,0)</f>
        <v>0</v>
      </c>
      <c r="AL79" s="77">
        <v>21</v>
      </c>
      <c r="AM79" s="77">
        <f>G79*0</f>
        <v>0</v>
      </c>
      <c r="AN79" s="77">
        <f>G79*(1-0)</f>
        <v>0</v>
      </c>
      <c r="AO79" s="79" t="s">
        <v>132</v>
      </c>
      <c r="AT79" s="77">
        <f>AU79+AV79</f>
        <v>0</v>
      </c>
      <c r="AU79" s="77">
        <f>F79*AM79</f>
        <v>0</v>
      </c>
      <c r="AV79" s="77">
        <f>F79*AN79</f>
        <v>0</v>
      </c>
      <c r="AW79" s="79" t="s">
        <v>271</v>
      </c>
      <c r="AX79" s="79" t="s">
        <v>272</v>
      </c>
      <c r="AY79" s="71" t="s">
        <v>137</v>
      </c>
      <c r="BA79" s="77">
        <f>AU79+AV79</f>
        <v>0</v>
      </c>
      <c r="BB79" s="77">
        <f>G79/(100-BC79)*100</f>
        <v>0</v>
      </c>
      <c r="BC79" s="77">
        <v>0</v>
      </c>
      <c r="BD79" s="77">
        <f>L79</f>
        <v>0</v>
      </c>
      <c r="BF79" s="77">
        <f>F79*AM79</f>
        <v>0</v>
      </c>
      <c r="BG79" s="77">
        <f>F79*AN79</f>
        <v>0</v>
      </c>
      <c r="BH79" s="77">
        <f>F79*G79</f>
        <v>0</v>
      </c>
      <c r="BI79" s="77"/>
      <c r="BJ79" s="77">
        <v>21</v>
      </c>
      <c r="BU79" s="77" t="e">
        <f>#REF!</f>
        <v>#REF!</v>
      </c>
      <c r="BV79" s="70" t="s">
        <v>270</v>
      </c>
    </row>
    <row r="80" spans="1:74" ht="40.5" customHeight="1" x14ac:dyDescent="0.25">
      <c r="A80" s="104"/>
      <c r="B80" s="81" t="s">
        <v>138</v>
      </c>
      <c r="C80" s="303" t="s">
        <v>516</v>
      </c>
      <c r="D80" s="304"/>
      <c r="E80" s="304"/>
      <c r="F80" s="304"/>
      <c r="G80" s="304"/>
      <c r="H80" s="304"/>
      <c r="I80" s="304"/>
      <c r="J80" s="304"/>
      <c r="K80" s="304"/>
      <c r="L80" s="304"/>
      <c r="M80" s="305"/>
    </row>
    <row r="81" spans="1:74" x14ac:dyDescent="0.25">
      <c r="A81" s="92" t="s">
        <v>278</v>
      </c>
      <c r="B81" s="69" t="s">
        <v>275</v>
      </c>
      <c r="C81" s="306" t="s">
        <v>276</v>
      </c>
      <c r="D81" s="307"/>
      <c r="E81" s="69" t="s">
        <v>145</v>
      </c>
      <c r="F81" s="77">
        <v>10</v>
      </c>
      <c r="G81" s="218">
        <v>0</v>
      </c>
      <c r="H81" s="77">
        <f>F81*AM81</f>
        <v>0</v>
      </c>
      <c r="I81" s="77">
        <f>F81*AN81</f>
        <v>0</v>
      </c>
      <c r="J81" s="77">
        <f>F81*G81</f>
        <v>0</v>
      </c>
      <c r="K81" s="77">
        <v>0.43625000000000003</v>
      </c>
      <c r="L81" s="77">
        <f>F81*K81</f>
        <v>4.3625000000000007</v>
      </c>
      <c r="M81" s="103" t="s">
        <v>35</v>
      </c>
      <c r="X81" s="77">
        <f>IF(AO81="5",BH81,0)</f>
        <v>0</v>
      </c>
      <c r="Z81" s="77">
        <f>IF(AO81="1",BF81,0)</f>
        <v>0</v>
      </c>
      <c r="AA81" s="77">
        <f>IF(AO81="1",BG81,0)</f>
        <v>0</v>
      </c>
      <c r="AB81" s="77">
        <f>IF(AO81="7",BF81,0)</f>
        <v>0</v>
      </c>
      <c r="AC81" s="77">
        <f>IF(AO81="7",BG81,0)</f>
        <v>0</v>
      </c>
      <c r="AD81" s="77">
        <f>IF(AO81="2",BF81,0)</f>
        <v>0</v>
      </c>
      <c r="AE81" s="77">
        <f>IF(AO81="2",BG81,0)</f>
        <v>0</v>
      </c>
      <c r="AF81" s="77">
        <f>IF(AO81="0",BH81,0)</f>
        <v>0</v>
      </c>
      <c r="AG81" s="71" t="s">
        <v>129</v>
      </c>
      <c r="AH81" s="77">
        <f>IF(AL81=0,J81,0)</f>
        <v>0</v>
      </c>
      <c r="AI81" s="77">
        <f>IF(AL81=15,J81,0)</f>
        <v>0</v>
      </c>
      <c r="AJ81" s="77">
        <f>IF(AL81=21,J81,0)</f>
        <v>0</v>
      </c>
      <c r="AL81" s="77">
        <v>21</v>
      </c>
      <c r="AM81" s="77">
        <f>G81*0.436419557</f>
        <v>0</v>
      </c>
      <c r="AN81" s="77">
        <f>G81*(1-0.436419557)</f>
        <v>0</v>
      </c>
      <c r="AO81" s="79" t="s">
        <v>132</v>
      </c>
      <c r="AT81" s="77">
        <f>AU81+AV81</f>
        <v>0</v>
      </c>
      <c r="AU81" s="77">
        <f>F81*AM81</f>
        <v>0</v>
      </c>
      <c r="AV81" s="77">
        <f>F81*AN81</f>
        <v>0</v>
      </c>
      <c r="AW81" s="79" t="s">
        <v>271</v>
      </c>
      <c r="AX81" s="79" t="s">
        <v>272</v>
      </c>
      <c r="AY81" s="71" t="s">
        <v>137</v>
      </c>
      <c r="BA81" s="77">
        <f>AU81+AV81</f>
        <v>0</v>
      </c>
      <c r="BB81" s="77">
        <f>G81/(100-BC81)*100</f>
        <v>0</v>
      </c>
      <c r="BC81" s="77">
        <v>0</v>
      </c>
      <c r="BD81" s="77">
        <f>L81</f>
        <v>4.3625000000000007</v>
      </c>
      <c r="BF81" s="77">
        <f>F81*AM81</f>
        <v>0</v>
      </c>
      <c r="BG81" s="77">
        <f>F81*AN81</f>
        <v>0</v>
      </c>
      <c r="BH81" s="77">
        <f>F81*G81</f>
        <v>0</v>
      </c>
      <c r="BI81" s="77"/>
      <c r="BJ81" s="77">
        <v>21</v>
      </c>
      <c r="BU81" s="77" t="e">
        <f>#REF!</f>
        <v>#REF!</v>
      </c>
      <c r="BV81" s="70" t="s">
        <v>276</v>
      </c>
    </row>
    <row r="82" spans="1:74" ht="27" customHeight="1" x14ac:dyDescent="0.25">
      <c r="A82" s="104"/>
      <c r="B82" s="81" t="s">
        <v>138</v>
      </c>
      <c r="C82" s="303" t="s">
        <v>517</v>
      </c>
      <c r="D82" s="304"/>
      <c r="E82" s="304"/>
      <c r="F82" s="304"/>
      <c r="G82" s="304"/>
      <c r="H82" s="304"/>
      <c r="I82" s="304"/>
      <c r="J82" s="304"/>
      <c r="K82" s="304"/>
      <c r="L82" s="304"/>
      <c r="M82" s="305"/>
    </row>
    <row r="83" spans="1:74" x14ac:dyDescent="0.25">
      <c r="A83" s="105" t="s">
        <v>129</v>
      </c>
      <c r="B83" s="74" t="s">
        <v>337</v>
      </c>
      <c r="C83" s="314" t="s">
        <v>518</v>
      </c>
      <c r="D83" s="315"/>
      <c r="E83" s="75" t="s">
        <v>87</v>
      </c>
      <c r="F83" s="75" t="s">
        <v>87</v>
      </c>
      <c r="G83" s="75" t="s">
        <v>87</v>
      </c>
      <c r="H83" s="67">
        <f>SUM(H84:H86)</f>
        <v>0</v>
      </c>
      <c r="I83" s="67">
        <f>SUM(I84:I86)</f>
        <v>0</v>
      </c>
      <c r="J83" s="67">
        <f>SUM(J84:J86)</f>
        <v>0</v>
      </c>
      <c r="K83" s="71" t="s">
        <v>129</v>
      </c>
      <c r="L83" s="67">
        <f>SUM(L84:L86)</f>
        <v>0.111</v>
      </c>
      <c r="M83" s="106" t="s">
        <v>129</v>
      </c>
      <c r="AG83" s="71" t="s">
        <v>129</v>
      </c>
      <c r="AQ83" s="67">
        <f>SUM(AH84:AH86)</f>
        <v>0</v>
      </c>
      <c r="AR83" s="67">
        <f>SUM(AI84:AI86)</f>
        <v>0</v>
      </c>
      <c r="AS83" s="67">
        <f>SUM(AJ84:AJ86)</f>
        <v>0</v>
      </c>
    </row>
    <row r="84" spans="1:74" x14ac:dyDescent="0.25">
      <c r="A84" s="92" t="s">
        <v>283</v>
      </c>
      <c r="B84" s="69" t="s">
        <v>519</v>
      </c>
      <c r="C84" s="306" t="s">
        <v>520</v>
      </c>
      <c r="D84" s="307"/>
      <c r="E84" s="69" t="s">
        <v>325</v>
      </c>
      <c r="F84" s="77">
        <v>33</v>
      </c>
      <c r="G84" s="218">
        <v>0</v>
      </c>
      <c r="H84" s="77">
        <f>F84*AM84</f>
        <v>0</v>
      </c>
      <c r="I84" s="77">
        <f>F84*AN84</f>
        <v>0</v>
      </c>
      <c r="J84" s="77">
        <f>F84*G84</f>
        <v>0</v>
      </c>
      <c r="K84" s="77">
        <v>3.0000000000000001E-3</v>
      </c>
      <c r="L84" s="77">
        <f>F84*K84</f>
        <v>9.9000000000000005E-2</v>
      </c>
      <c r="M84" s="103" t="s">
        <v>35</v>
      </c>
      <c r="X84" s="77">
        <f>IF(AO84="5",BH84,0)</f>
        <v>0</v>
      </c>
      <c r="Z84" s="77">
        <f>IF(AO84="1",BF84,0)</f>
        <v>0</v>
      </c>
      <c r="AA84" s="77">
        <f>IF(AO84="1",BG84,0)</f>
        <v>0</v>
      </c>
      <c r="AB84" s="77">
        <f>IF(AO84="7",BF84,0)</f>
        <v>0</v>
      </c>
      <c r="AC84" s="77">
        <f>IF(AO84="7",BG84,0)</f>
        <v>0</v>
      </c>
      <c r="AD84" s="77">
        <f>IF(AO84="2",BF84,0)</f>
        <v>0</v>
      </c>
      <c r="AE84" s="77">
        <f>IF(AO84="2",BG84,0)</f>
        <v>0</v>
      </c>
      <c r="AF84" s="77">
        <f>IF(AO84="0",BH84,0)</f>
        <v>0</v>
      </c>
      <c r="AG84" s="71" t="s">
        <v>129</v>
      </c>
      <c r="AH84" s="77">
        <f>IF(AL84=0,J84,0)</f>
        <v>0</v>
      </c>
      <c r="AI84" s="77">
        <f>IF(AL84=15,J84,0)</f>
        <v>0</v>
      </c>
      <c r="AJ84" s="77">
        <f>IF(AL84=21,J84,0)</f>
        <v>0</v>
      </c>
      <c r="AL84" s="77">
        <v>21</v>
      </c>
      <c r="AM84" s="77">
        <f>G84*0.013900929</f>
        <v>0</v>
      </c>
      <c r="AN84" s="77">
        <f>G84*(1-0.013900929)</f>
        <v>0</v>
      </c>
      <c r="AO84" s="79" t="s">
        <v>132</v>
      </c>
      <c r="AT84" s="77">
        <f>AU84+AV84</f>
        <v>0</v>
      </c>
      <c r="AU84" s="77">
        <f>F84*AM84</f>
        <v>0</v>
      </c>
      <c r="AV84" s="77">
        <f>F84*AN84</f>
        <v>0</v>
      </c>
      <c r="AW84" s="79" t="s">
        <v>521</v>
      </c>
      <c r="AX84" s="79" t="s">
        <v>294</v>
      </c>
      <c r="AY84" s="71" t="s">
        <v>137</v>
      </c>
      <c r="BA84" s="77">
        <f>AU84+AV84</f>
        <v>0</v>
      </c>
      <c r="BB84" s="77">
        <f>G84/(100-BC84)*100</f>
        <v>0</v>
      </c>
      <c r="BC84" s="77">
        <v>0</v>
      </c>
      <c r="BD84" s="77">
        <f>L84</f>
        <v>9.9000000000000005E-2</v>
      </c>
      <c r="BF84" s="77">
        <f>F84*AM84</f>
        <v>0</v>
      </c>
      <c r="BG84" s="77">
        <f>F84*AN84</f>
        <v>0</v>
      </c>
      <c r="BH84" s="77">
        <f>F84*G84</f>
        <v>0</v>
      </c>
      <c r="BI84" s="77"/>
      <c r="BJ84" s="77">
        <v>42</v>
      </c>
      <c r="BU84" s="77" t="e">
        <f>#REF!</f>
        <v>#REF!</v>
      </c>
      <c r="BV84" s="70" t="s">
        <v>520</v>
      </c>
    </row>
    <row r="85" spans="1:74" ht="13.5" customHeight="1" x14ac:dyDescent="0.25">
      <c r="A85" s="104"/>
      <c r="B85" s="81" t="s">
        <v>138</v>
      </c>
      <c r="C85" s="303" t="s">
        <v>522</v>
      </c>
      <c r="D85" s="304"/>
      <c r="E85" s="304"/>
      <c r="F85" s="304"/>
      <c r="G85" s="304"/>
      <c r="H85" s="304"/>
      <c r="I85" s="304"/>
      <c r="J85" s="304"/>
      <c r="K85" s="304"/>
      <c r="L85" s="304"/>
      <c r="M85" s="305"/>
    </row>
    <row r="86" spans="1:74" x14ac:dyDescent="0.25">
      <c r="A86" s="92" t="s">
        <v>290</v>
      </c>
      <c r="B86" s="69" t="s">
        <v>519</v>
      </c>
      <c r="C86" s="306" t="s">
        <v>520</v>
      </c>
      <c r="D86" s="307"/>
      <c r="E86" s="69" t="s">
        <v>325</v>
      </c>
      <c r="F86" s="77">
        <v>4</v>
      </c>
      <c r="G86" s="218">
        <v>0</v>
      </c>
      <c r="H86" s="77">
        <f>F86*AM86</f>
        <v>0</v>
      </c>
      <c r="I86" s="77">
        <f>F86*AN86</f>
        <v>0</v>
      </c>
      <c r="J86" s="77">
        <f>F86*G86</f>
        <v>0</v>
      </c>
      <c r="K86" s="77">
        <v>3.0000000000000001E-3</v>
      </c>
      <c r="L86" s="77">
        <f>F86*K86</f>
        <v>1.2E-2</v>
      </c>
      <c r="M86" s="103" t="s">
        <v>35</v>
      </c>
      <c r="X86" s="77">
        <f>IF(AO86="5",BH86,0)</f>
        <v>0</v>
      </c>
      <c r="Z86" s="77">
        <f>IF(AO86="1",BF86,0)</f>
        <v>0</v>
      </c>
      <c r="AA86" s="77">
        <f>IF(AO86="1",BG86,0)</f>
        <v>0</v>
      </c>
      <c r="AB86" s="77">
        <f>IF(AO86="7",BF86,0)</f>
        <v>0</v>
      </c>
      <c r="AC86" s="77">
        <f>IF(AO86="7",BG86,0)</f>
        <v>0</v>
      </c>
      <c r="AD86" s="77">
        <f>IF(AO86="2",BF86,0)</f>
        <v>0</v>
      </c>
      <c r="AE86" s="77">
        <f>IF(AO86="2",BG86,0)</f>
        <v>0</v>
      </c>
      <c r="AF86" s="77">
        <f>IF(AO86="0",BH86,0)</f>
        <v>0</v>
      </c>
      <c r="AG86" s="71" t="s">
        <v>129</v>
      </c>
      <c r="AH86" s="77">
        <f>IF(AL86=0,J86,0)</f>
        <v>0</v>
      </c>
      <c r="AI86" s="77">
        <f>IF(AL86=15,J86,0)</f>
        <v>0</v>
      </c>
      <c r="AJ86" s="77">
        <f>IF(AL86=21,J86,0)</f>
        <v>0</v>
      </c>
      <c r="AL86" s="77">
        <v>21</v>
      </c>
      <c r="AM86" s="77">
        <f>G86*0.013900929</f>
        <v>0</v>
      </c>
      <c r="AN86" s="77">
        <f>G86*(1-0.013900929)</f>
        <v>0</v>
      </c>
      <c r="AO86" s="79" t="s">
        <v>132</v>
      </c>
      <c r="AT86" s="77">
        <f>AU86+AV86</f>
        <v>0</v>
      </c>
      <c r="AU86" s="77">
        <f>F86*AM86</f>
        <v>0</v>
      </c>
      <c r="AV86" s="77">
        <f>F86*AN86</f>
        <v>0</v>
      </c>
      <c r="AW86" s="79" t="s">
        <v>521</v>
      </c>
      <c r="AX86" s="79" t="s">
        <v>294</v>
      </c>
      <c r="AY86" s="71" t="s">
        <v>137</v>
      </c>
      <c r="BA86" s="77">
        <f>AU86+AV86</f>
        <v>0</v>
      </c>
      <c r="BB86" s="77">
        <f>G86/(100-BC86)*100</f>
        <v>0</v>
      </c>
      <c r="BC86" s="77">
        <v>0</v>
      </c>
      <c r="BD86" s="77">
        <f>L86</f>
        <v>1.2E-2</v>
      </c>
      <c r="BF86" s="77">
        <f>F86*AM86</f>
        <v>0</v>
      </c>
      <c r="BG86" s="77">
        <f>F86*AN86</f>
        <v>0</v>
      </c>
      <c r="BH86" s="77">
        <f>F86*G86</f>
        <v>0</v>
      </c>
      <c r="BI86" s="77"/>
      <c r="BJ86" s="77">
        <v>42</v>
      </c>
      <c r="BU86" s="77" t="e">
        <f>#REF!</f>
        <v>#REF!</v>
      </c>
      <c r="BV86" s="70" t="s">
        <v>520</v>
      </c>
    </row>
    <row r="87" spans="1:74" ht="13.5" customHeight="1" x14ac:dyDescent="0.25">
      <c r="A87" s="104"/>
      <c r="B87" s="81" t="s">
        <v>138</v>
      </c>
      <c r="C87" s="303" t="s">
        <v>523</v>
      </c>
      <c r="D87" s="304"/>
      <c r="E87" s="304"/>
      <c r="F87" s="304"/>
      <c r="G87" s="304"/>
      <c r="H87" s="304"/>
      <c r="I87" s="304"/>
      <c r="J87" s="304"/>
      <c r="K87" s="304"/>
      <c r="L87" s="304"/>
      <c r="M87" s="305"/>
    </row>
    <row r="88" spans="1:74" x14ac:dyDescent="0.25">
      <c r="A88" s="105" t="s">
        <v>129</v>
      </c>
      <c r="B88" s="74" t="s">
        <v>288</v>
      </c>
      <c r="C88" s="314" t="s">
        <v>289</v>
      </c>
      <c r="D88" s="315"/>
      <c r="E88" s="75" t="s">
        <v>87</v>
      </c>
      <c r="F88" s="75" t="s">
        <v>87</v>
      </c>
      <c r="G88" s="75" t="s">
        <v>87</v>
      </c>
      <c r="H88" s="67">
        <f>SUM(H89:H89)</f>
        <v>0</v>
      </c>
      <c r="I88" s="67">
        <f>SUM(I89:I89)</f>
        <v>0</v>
      </c>
      <c r="J88" s="67">
        <f>SUM(J89:J89)</f>
        <v>0</v>
      </c>
      <c r="K88" s="71" t="s">
        <v>129</v>
      </c>
      <c r="L88" s="67">
        <f>SUM(L89:L89)</f>
        <v>28.361550000000001</v>
      </c>
      <c r="M88" s="106" t="s">
        <v>129</v>
      </c>
      <c r="AG88" s="71" t="s">
        <v>129</v>
      </c>
      <c r="AQ88" s="67">
        <f>SUM(AH89:AH89)</f>
        <v>0</v>
      </c>
      <c r="AR88" s="67">
        <f>SUM(AI89:AI89)</f>
        <v>0</v>
      </c>
      <c r="AS88" s="67">
        <f>SUM(AJ89:AJ89)</f>
        <v>0</v>
      </c>
    </row>
    <row r="89" spans="1:74" x14ac:dyDescent="0.25">
      <c r="A89" s="92" t="s">
        <v>298</v>
      </c>
      <c r="B89" s="69" t="s">
        <v>291</v>
      </c>
      <c r="C89" s="306" t="s">
        <v>524</v>
      </c>
      <c r="D89" s="307"/>
      <c r="E89" s="69" t="s">
        <v>177</v>
      </c>
      <c r="F89" s="77">
        <v>15</v>
      </c>
      <c r="G89" s="218">
        <v>0</v>
      </c>
      <c r="H89" s="77">
        <f>F89*AM89</f>
        <v>0</v>
      </c>
      <c r="I89" s="77">
        <f>F89*AN89</f>
        <v>0</v>
      </c>
      <c r="J89" s="77">
        <f>F89*G89</f>
        <v>0</v>
      </c>
      <c r="K89" s="77">
        <v>1.8907700000000001</v>
      </c>
      <c r="L89" s="77">
        <f>F89*K89</f>
        <v>28.361550000000001</v>
      </c>
      <c r="M89" s="103" t="s">
        <v>35</v>
      </c>
      <c r="X89" s="77">
        <f>IF(AO89="5",BH89,0)</f>
        <v>0</v>
      </c>
      <c r="Z89" s="77">
        <f>IF(AO89="1",BF89,0)</f>
        <v>0</v>
      </c>
      <c r="AA89" s="77">
        <f>IF(AO89="1",BG89,0)</f>
        <v>0</v>
      </c>
      <c r="AB89" s="77">
        <f>IF(AO89="7",BF89,0)</f>
        <v>0</v>
      </c>
      <c r="AC89" s="77">
        <f>IF(AO89="7",BG89,0)</f>
        <v>0</v>
      </c>
      <c r="AD89" s="77">
        <f>IF(AO89="2",BF89,0)</f>
        <v>0</v>
      </c>
      <c r="AE89" s="77">
        <f>IF(AO89="2",BG89,0)</f>
        <v>0</v>
      </c>
      <c r="AF89" s="77">
        <f>IF(AO89="0",BH89,0)</f>
        <v>0</v>
      </c>
      <c r="AG89" s="71" t="s">
        <v>129</v>
      </c>
      <c r="AH89" s="77">
        <f>IF(AL89=0,J89,0)</f>
        <v>0</v>
      </c>
      <c r="AI89" s="77">
        <f>IF(AL89=15,J89,0)</f>
        <v>0</v>
      </c>
      <c r="AJ89" s="77">
        <f>IF(AL89=21,J89,0)</f>
        <v>0</v>
      </c>
      <c r="AL89" s="77">
        <v>21</v>
      </c>
      <c r="AM89" s="77">
        <f>G89*0.487587983</f>
        <v>0</v>
      </c>
      <c r="AN89" s="77">
        <f>G89*(1-0.487587983)</f>
        <v>0</v>
      </c>
      <c r="AO89" s="79" t="s">
        <v>132</v>
      </c>
      <c r="AT89" s="77">
        <f>AU89+AV89</f>
        <v>0</v>
      </c>
      <c r="AU89" s="77">
        <f>F89*AM89</f>
        <v>0</v>
      </c>
      <c r="AV89" s="77">
        <f>F89*AN89</f>
        <v>0</v>
      </c>
      <c r="AW89" s="79" t="s">
        <v>293</v>
      </c>
      <c r="AX89" s="79" t="s">
        <v>294</v>
      </c>
      <c r="AY89" s="71" t="s">
        <v>137</v>
      </c>
      <c r="BA89" s="77">
        <f>AU89+AV89</f>
        <v>0</v>
      </c>
      <c r="BB89" s="77">
        <f>G89/(100-BC89)*100</f>
        <v>0</v>
      </c>
      <c r="BC89" s="77">
        <v>0</v>
      </c>
      <c r="BD89" s="77">
        <f>L89</f>
        <v>28.361550000000001</v>
      </c>
      <c r="BF89" s="77">
        <f>F89*AM89</f>
        <v>0</v>
      </c>
      <c r="BG89" s="77">
        <f>F89*AN89</f>
        <v>0</v>
      </c>
      <c r="BH89" s="77">
        <f>F89*G89</f>
        <v>0</v>
      </c>
      <c r="BI89" s="77"/>
      <c r="BJ89" s="77">
        <v>45</v>
      </c>
      <c r="BU89" s="77" t="e">
        <f>#REF!</f>
        <v>#REF!</v>
      </c>
      <c r="BV89" s="70" t="s">
        <v>524</v>
      </c>
    </row>
    <row r="90" spans="1:74" ht="54" customHeight="1" x14ac:dyDescent="0.25">
      <c r="A90" s="104"/>
      <c r="B90" s="81" t="s">
        <v>138</v>
      </c>
      <c r="C90" s="303" t="s">
        <v>525</v>
      </c>
      <c r="D90" s="304"/>
      <c r="E90" s="304"/>
      <c r="F90" s="304"/>
      <c r="G90" s="304"/>
      <c r="H90" s="304"/>
      <c r="I90" s="304"/>
      <c r="J90" s="304"/>
      <c r="K90" s="304"/>
      <c r="L90" s="304"/>
      <c r="M90" s="305"/>
    </row>
    <row r="91" spans="1:74" x14ac:dyDescent="0.25">
      <c r="A91" s="105" t="s">
        <v>129</v>
      </c>
      <c r="B91" s="74" t="s">
        <v>296</v>
      </c>
      <c r="C91" s="314" t="s">
        <v>297</v>
      </c>
      <c r="D91" s="315"/>
      <c r="E91" s="75" t="s">
        <v>87</v>
      </c>
      <c r="F91" s="75" t="s">
        <v>87</v>
      </c>
      <c r="G91" s="75" t="s">
        <v>87</v>
      </c>
      <c r="H91" s="67">
        <f>SUM(H92:H98)</f>
        <v>0</v>
      </c>
      <c r="I91" s="67">
        <f>SUM(I92:I98)</f>
        <v>0</v>
      </c>
      <c r="J91" s="67">
        <f>SUM(J92:J98)</f>
        <v>0</v>
      </c>
      <c r="K91" s="71" t="s">
        <v>129</v>
      </c>
      <c r="L91" s="67">
        <f>SUM(L92:L98)</f>
        <v>269.22411260000001</v>
      </c>
      <c r="M91" s="106" t="s">
        <v>129</v>
      </c>
      <c r="AG91" s="71" t="s">
        <v>129</v>
      </c>
      <c r="AQ91" s="67">
        <f>SUM(AH92:AH98)</f>
        <v>0</v>
      </c>
      <c r="AR91" s="67">
        <f>SUM(AI92:AI98)</f>
        <v>0</v>
      </c>
      <c r="AS91" s="67">
        <f>SUM(AJ92:AJ98)</f>
        <v>0</v>
      </c>
    </row>
    <row r="92" spans="1:74" x14ac:dyDescent="0.25">
      <c r="A92" s="92" t="s">
        <v>304</v>
      </c>
      <c r="B92" s="69" t="s">
        <v>299</v>
      </c>
      <c r="C92" s="306" t="s">
        <v>300</v>
      </c>
      <c r="D92" s="307"/>
      <c r="E92" s="69" t="s">
        <v>166</v>
      </c>
      <c r="F92" s="77">
        <v>140.99</v>
      </c>
      <c r="G92" s="218">
        <v>0</v>
      </c>
      <c r="H92" s="77">
        <f>F92*AM92</f>
        <v>0</v>
      </c>
      <c r="I92" s="77">
        <f>F92*AN92</f>
        <v>0</v>
      </c>
      <c r="J92" s="77">
        <f>F92*G92</f>
        <v>0</v>
      </c>
      <c r="K92" s="77">
        <v>0.46</v>
      </c>
      <c r="L92" s="77">
        <f>F92*K92</f>
        <v>64.855400000000003</v>
      </c>
      <c r="M92" s="103" t="s">
        <v>35</v>
      </c>
      <c r="X92" s="77">
        <f>IF(AO92="5",BH92,0)</f>
        <v>0</v>
      </c>
      <c r="Z92" s="77">
        <f>IF(AO92="1",BF92,0)</f>
        <v>0</v>
      </c>
      <c r="AA92" s="77">
        <f>IF(AO92="1",BG92,0)</f>
        <v>0</v>
      </c>
      <c r="AB92" s="77">
        <f>IF(AO92="7",BF92,0)</f>
        <v>0</v>
      </c>
      <c r="AC92" s="77">
        <f>IF(AO92="7",BG92,0)</f>
        <v>0</v>
      </c>
      <c r="AD92" s="77">
        <f>IF(AO92="2",BF92,0)</f>
        <v>0</v>
      </c>
      <c r="AE92" s="77">
        <f>IF(AO92="2",BG92,0)</f>
        <v>0</v>
      </c>
      <c r="AF92" s="77">
        <f>IF(AO92="0",BH92,0)</f>
        <v>0</v>
      </c>
      <c r="AG92" s="71" t="s">
        <v>129</v>
      </c>
      <c r="AH92" s="77">
        <f>IF(AL92=0,J92,0)</f>
        <v>0</v>
      </c>
      <c r="AI92" s="77">
        <f>IF(AL92=15,J92,0)</f>
        <v>0</v>
      </c>
      <c r="AJ92" s="77">
        <f>IF(AL92=21,J92,0)</f>
        <v>0</v>
      </c>
      <c r="AL92" s="77">
        <v>21</v>
      </c>
      <c r="AM92" s="77">
        <f>G92*0.854845236</f>
        <v>0</v>
      </c>
      <c r="AN92" s="77">
        <f>G92*(1-0.854845236)</f>
        <v>0</v>
      </c>
      <c r="AO92" s="79" t="s">
        <v>132</v>
      </c>
      <c r="AT92" s="77">
        <f>AU92+AV92</f>
        <v>0</v>
      </c>
      <c r="AU92" s="77">
        <f>F92*AM92</f>
        <v>0</v>
      </c>
      <c r="AV92" s="77">
        <f>F92*AN92</f>
        <v>0</v>
      </c>
      <c r="AW92" s="79" t="s">
        <v>301</v>
      </c>
      <c r="AX92" s="79" t="s">
        <v>302</v>
      </c>
      <c r="AY92" s="71" t="s">
        <v>137</v>
      </c>
      <c r="BA92" s="77">
        <f>AU92+AV92</f>
        <v>0</v>
      </c>
      <c r="BB92" s="77">
        <f>G92/(100-BC92)*100</f>
        <v>0</v>
      </c>
      <c r="BC92" s="77">
        <v>0</v>
      </c>
      <c r="BD92" s="77">
        <f>L92</f>
        <v>64.855400000000003</v>
      </c>
      <c r="BF92" s="77">
        <f>F92*AM92</f>
        <v>0</v>
      </c>
      <c r="BG92" s="77">
        <f>F92*AN92</f>
        <v>0</v>
      </c>
      <c r="BH92" s="77">
        <f>F92*G92</f>
        <v>0</v>
      </c>
      <c r="BI92" s="77"/>
      <c r="BJ92" s="77">
        <v>56</v>
      </c>
      <c r="BU92" s="77" t="e">
        <f>#REF!</f>
        <v>#REF!</v>
      </c>
      <c r="BV92" s="70" t="s">
        <v>300</v>
      </c>
    </row>
    <row r="93" spans="1:74" ht="40.5" customHeight="1" x14ac:dyDescent="0.25">
      <c r="A93" s="104"/>
      <c r="B93" s="81" t="s">
        <v>138</v>
      </c>
      <c r="C93" s="303" t="s">
        <v>526</v>
      </c>
      <c r="D93" s="304"/>
      <c r="E93" s="304"/>
      <c r="F93" s="304"/>
      <c r="G93" s="304"/>
      <c r="H93" s="304"/>
      <c r="I93" s="304"/>
      <c r="J93" s="304"/>
      <c r="K93" s="304"/>
      <c r="L93" s="304"/>
      <c r="M93" s="305"/>
    </row>
    <row r="94" spans="1:74" x14ac:dyDescent="0.25">
      <c r="A94" s="92" t="s">
        <v>308</v>
      </c>
      <c r="B94" s="69" t="s">
        <v>299</v>
      </c>
      <c r="C94" s="306" t="s">
        <v>300</v>
      </c>
      <c r="D94" s="307"/>
      <c r="E94" s="69" t="s">
        <v>166</v>
      </c>
      <c r="F94" s="77">
        <v>140.99</v>
      </c>
      <c r="G94" s="218">
        <v>0</v>
      </c>
      <c r="H94" s="77">
        <f>F94*AM94</f>
        <v>0</v>
      </c>
      <c r="I94" s="77">
        <f>F94*AN94</f>
        <v>0</v>
      </c>
      <c r="J94" s="77">
        <f>F94*G94</f>
        <v>0</v>
      </c>
      <c r="K94" s="77">
        <v>0.46</v>
      </c>
      <c r="L94" s="77">
        <f>F94*K94</f>
        <v>64.855400000000003</v>
      </c>
      <c r="M94" s="103" t="s">
        <v>35</v>
      </c>
      <c r="X94" s="77">
        <f>IF(AO94="5",BH94,0)</f>
        <v>0</v>
      </c>
      <c r="Z94" s="77">
        <f>IF(AO94="1",BF94,0)</f>
        <v>0</v>
      </c>
      <c r="AA94" s="77">
        <f>IF(AO94="1",BG94,0)</f>
        <v>0</v>
      </c>
      <c r="AB94" s="77">
        <f>IF(AO94="7",BF94,0)</f>
        <v>0</v>
      </c>
      <c r="AC94" s="77">
        <f>IF(AO94="7",BG94,0)</f>
        <v>0</v>
      </c>
      <c r="AD94" s="77">
        <f>IF(AO94="2",BF94,0)</f>
        <v>0</v>
      </c>
      <c r="AE94" s="77">
        <f>IF(AO94="2",BG94,0)</f>
        <v>0</v>
      </c>
      <c r="AF94" s="77">
        <f>IF(AO94="0",BH94,0)</f>
        <v>0</v>
      </c>
      <c r="AG94" s="71" t="s">
        <v>129</v>
      </c>
      <c r="AH94" s="77">
        <f>IF(AL94=0,J94,0)</f>
        <v>0</v>
      </c>
      <c r="AI94" s="77">
        <f>IF(AL94=15,J94,0)</f>
        <v>0</v>
      </c>
      <c r="AJ94" s="77">
        <f>IF(AL94=21,J94,0)</f>
        <v>0</v>
      </c>
      <c r="AL94" s="77">
        <v>21</v>
      </c>
      <c r="AM94" s="77">
        <f>G94*0.854845236</f>
        <v>0</v>
      </c>
      <c r="AN94" s="77">
        <f>G94*(1-0.854845236)</f>
        <v>0</v>
      </c>
      <c r="AO94" s="79" t="s">
        <v>132</v>
      </c>
      <c r="AT94" s="77">
        <f>AU94+AV94</f>
        <v>0</v>
      </c>
      <c r="AU94" s="77">
        <f>F94*AM94</f>
        <v>0</v>
      </c>
      <c r="AV94" s="77">
        <f>F94*AN94</f>
        <v>0</v>
      </c>
      <c r="AW94" s="79" t="s">
        <v>301</v>
      </c>
      <c r="AX94" s="79" t="s">
        <v>302</v>
      </c>
      <c r="AY94" s="71" t="s">
        <v>137</v>
      </c>
      <c r="BA94" s="77">
        <f>AU94+AV94</f>
        <v>0</v>
      </c>
      <c r="BB94" s="77">
        <f>G94/(100-BC94)*100</f>
        <v>0</v>
      </c>
      <c r="BC94" s="77">
        <v>0</v>
      </c>
      <c r="BD94" s="77">
        <f>L94</f>
        <v>64.855400000000003</v>
      </c>
      <c r="BF94" s="77">
        <f>F94*AM94</f>
        <v>0</v>
      </c>
      <c r="BG94" s="77">
        <f>F94*AN94</f>
        <v>0</v>
      </c>
      <c r="BH94" s="77">
        <f>F94*G94</f>
        <v>0</v>
      </c>
      <c r="BI94" s="77"/>
      <c r="BJ94" s="77">
        <v>56</v>
      </c>
      <c r="BU94" s="77" t="e">
        <f>#REF!</f>
        <v>#REF!</v>
      </c>
      <c r="BV94" s="70" t="s">
        <v>300</v>
      </c>
    </row>
    <row r="95" spans="1:74" ht="40.5" customHeight="1" x14ac:dyDescent="0.25">
      <c r="A95" s="104"/>
      <c r="B95" s="81" t="s">
        <v>138</v>
      </c>
      <c r="C95" s="303" t="s">
        <v>526</v>
      </c>
      <c r="D95" s="304"/>
      <c r="E95" s="304"/>
      <c r="F95" s="304"/>
      <c r="G95" s="304"/>
      <c r="H95" s="304"/>
      <c r="I95" s="304"/>
      <c r="J95" s="304"/>
      <c r="K95" s="304"/>
      <c r="L95" s="304"/>
      <c r="M95" s="305"/>
    </row>
    <row r="96" spans="1:74" x14ac:dyDescent="0.25">
      <c r="A96" s="92" t="s">
        <v>310</v>
      </c>
      <c r="B96" s="69" t="s">
        <v>305</v>
      </c>
      <c r="C96" s="306" t="s">
        <v>306</v>
      </c>
      <c r="D96" s="307"/>
      <c r="E96" s="69" t="s">
        <v>166</v>
      </c>
      <c r="F96" s="77">
        <v>140.99</v>
      </c>
      <c r="G96" s="218">
        <v>0</v>
      </c>
      <c r="H96" s="77">
        <f>F96*AM96</f>
        <v>0</v>
      </c>
      <c r="I96" s="77">
        <f>F96*AN96</f>
        <v>0</v>
      </c>
      <c r="J96" s="77">
        <f>F96*G96</f>
        <v>0</v>
      </c>
      <c r="K96" s="77">
        <v>0.48574000000000001</v>
      </c>
      <c r="L96" s="77">
        <f>F96*K96</f>
        <v>68.484482600000007</v>
      </c>
      <c r="M96" s="103" t="s">
        <v>35</v>
      </c>
      <c r="X96" s="77">
        <f>IF(AO96="5",BH96,0)</f>
        <v>0</v>
      </c>
      <c r="Z96" s="77">
        <f>IF(AO96="1",BF96,0)</f>
        <v>0</v>
      </c>
      <c r="AA96" s="77">
        <f>IF(AO96="1",BG96,0)</f>
        <v>0</v>
      </c>
      <c r="AB96" s="77">
        <f>IF(AO96="7",BF96,0)</f>
        <v>0</v>
      </c>
      <c r="AC96" s="77">
        <f>IF(AO96="7",BG96,0)</f>
        <v>0</v>
      </c>
      <c r="AD96" s="77">
        <f>IF(AO96="2",BF96,0)</f>
        <v>0</v>
      </c>
      <c r="AE96" s="77">
        <f>IF(AO96="2",BG96,0)</f>
        <v>0</v>
      </c>
      <c r="AF96" s="77">
        <f>IF(AO96="0",BH96,0)</f>
        <v>0</v>
      </c>
      <c r="AG96" s="71" t="s">
        <v>129</v>
      </c>
      <c r="AH96" s="77">
        <f>IF(AL96=0,J96,0)</f>
        <v>0</v>
      </c>
      <c r="AI96" s="77">
        <f>IF(AL96=15,J96,0)</f>
        <v>0</v>
      </c>
      <c r="AJ96" s="77">
        <f>IF(AL96=21,J96,0)</f>
        <v>0</v>
      </c>
      <c r="AL96" s="77">
        <v>21</v>
      </c>
      <c r="AM96" s="77">
        <f>G96*0.813418892</f>
        <v>0</v>
      </c>
      <c r="AN96" s="77">
        <f>G96*(1-0.813418892)</f>
        <v>0</v>
      </c>
      <c r="AO96" s="79" t="s">
        <v>132</v>
      </c>
      <c r="AT96" s="77">
        <f>AU96+AV96</f>
        <v>0</v>
      </c>
      <c r="AU96" s="77">
        <f>F96*AM96</f>
        <v>0</v>
      </c>
      <c r="AV96" s="77">
        <f>F96*AN96</f>
        <v>0</v>
      </c>
      <c r="AW96" s="79" t="s">
        <v>301</v>
      </c>
      <c r="AX96" s="79" t="s">
        <v>302</v>
      </c>
      <c r="AY96" s="71" t="s">
        <v>137</v>
      </c>
      <c r="BA96" s="77">
        <f>AU96+AV96</f>
        <v>0</v>
      </c>
      <c r="BB96" s="77">
        <f>G96/(100-BC96)*100</f>
        <v>0</v>
      </c>
      <c r="BC96" s="77">
        <v>0</v>
      </c>
      <c r="BD96" s="77">
        <f>L96</f>
        <v>68.484482600000007</v>
      </c>
      <c r="BF96" s="77">
        <f>F96*AM96</f>
        <v>0</v>
      </c>
      <c r="BG96" s="77">
        <f>F96*AN96</f>
        <v>0</v>
      </c>
      <c r="BH96" s="77">
        <f>F96*G96</f>
        <v>0</v>
      </c>
      <c r="BI96" s="77"/>
      <c r="BJ96" s="77">
        <v>56</v>
      </c>
      <c r="BU96" s="77" t="e">
        <f>#REF!</f>
        <v>#REF!</v>
      </c>
      <c r="BV96" s="70" t="s">
        <v>306</v>
      </c>
    </row>
    <row r="97" spans="1:74" ht="40.5" customHeight="1" x14ac:dyDescent="0.25">
      <c r="A97" s="104"/>
      <c r="B97" s="81" t="s">
        <v>138</v>
      </c>
      <c r="C97" s="303" t="s">
        <v>527</v>
      </c>
      <c r="D97" s="304"/>
      <c r="E97" s="304"/>
      <c r="F97" s="304"/>
      <c r="G97" s="304"/>
      <c r="H97" s="304"/>
      <c r="I97" s="304"/>
      <c r="J97" s="304"/>
      <c r="K97" s="304"/>
      <c r="L97" s="304"/>
      <c r="M97" s="305"/>
    </row>
    <row r="98" spans="1:74" x14ac:dyDescent="0.25">
      <c r="A98" s="92" t="s">
        <v>316</v>
      </c>
      <c r="B98" s="69" t="s">
        <v>528</v>
      </c>
      <c r="C98" s="306" t="s">
        <v>529</v>
      </c>
      <c r="D98" s="307"/>
      <c r="E98" s="69" t="s">
        <v>166</v>
      </c>
      <c r="F98" s="77">
        <v>134.27000000000001</v>
      </c>
      <c r="G98" s="218">
        <v>0</v>
      </c>
      <c r="H98" s="77">
        <f>F98*AM98</f>
        <v>0</v>
      </c>
      <c r="I98" s="77">
        <f>F98*AN98</f>
        <v>0</v>
      </c>
      <c r="J98" s="77">
        <f>F98*G98</f>
        <v>0</v>
      </c>
      <c r="K98" s="77">
        <v>0.52900000000000003</v>
      </c>
      <c r="L98" s="77">
        <f>F98*K98</f>
        <v>71.028830000000013</v>
      </c>
      <c r="M98" s="103" t="s">
        <v>35</v>
      </c>
      <c r="X98" s="77">
        <f>IF(AO98="5",BH98,0)</f>
        <v>0</v>
      </c>
      <c r="Z98" s="77">
        <f>IF(AO98="1",BF98,0)</f>
        <v>0</v>
      </c>
      <c r="AA98" s="77">
        <f>IF(AO98="1",BG98,0)</f>
        <v>0</v>
      </c>
      <c r="AB98" s="77">
        <f>IF(AO98="7",BF98,0)</f>
        <v>0</v>
      </c>
      <c r="AC98" s="77">
        <f>IF(AO98="7",BG98,0)</f>
        <v>0</v>
      </c>
      <c r="AD98" s="77">
        <f>IF(AO98="2",BF98,0)</f>
        <v>0</v>
      </c>
      <c r="AE98" s="77">
        <f>IF(AO98="2",BG98,0)</f>
        <v>0</v>
      </c>
      <c r="AF98" s="77">
        <f>IF(AO98="0",BH98,0)</f>
        <v>0</v>
      </c>
      <c r="AG98" s="71" t="s">
        <v>129</v>
      </c>
      <c r="AH98" s="77">
        <f>IF(AL98=0,J98,0)</f>
        <v>0</v>
      </c>
      <c r="AI98" s="77">
        <f>IF(AL98=15,J98,0)</f>
        <v>0</v>
      </c>
      <c r="AJ98" s="77">
        <f>IF(AL98=21,J98,0)</f>
        <v>0</v>
      </c>
      <c r="AL98" s="77">
        <v>21</v>
      </c>
      <c r="AM98" s="77">
        <f>G98*0.85324364</f>
        <v>0</v>
      </c>
      <c r="AN98" s="77">
        <f>G98*(1-0.85324364)</f>
        <v>0</v>
      </c>
      <c r="AO98" s="79" t="s">
        <v>132</v>
      </c>
      <c r="AT98" s="77">
        <f>AU98+AV98</f>
        <v>0</v>
      </c>
      <c r="AU98" s="77">
        <f>F98*AM98</f>
        <v>0</v>
      </c>
      <c r="AV98" s="77">
        <f>F98*AN98</f>
        <v>0</v>
      </c>
      <c r="AW98" s="79" t="s">
        <v>301</v>
      </c>
      <c r="AX98" s="79" t="s">
        <v>302</v>
      </c>
      <c r="AY98" s="71" t="s">
        <v>137</v>
      </c>
      <c r="BA98" s="77">
        <f>AU98+AV98</f>
        <v>0</v>
      </c>
      <c r="BB98" s="77">
        <f>G98/(100-BC98)*100</f>
        <v>0</v>
      </c>
      <c r="BC98" s="77">
        <v>0</v>
      </c>
      <c r="BD98" s="77">
        <f>L98</f>
        <v>71.028830000000013</v>
      </c>
      <c r="BF98" s="77">
        <f>F98*AM98</f>
        <v>0</v>
      </c>
      <c r="BG98" s="77">
        <f>F98*AN98</f>
        <v>0</v>
      </c>
      <c r="BH98" s="77">
        <f>F98*G98</f>
        <v>0</v>
      </c>
      <c r="BI98" s="77"/>
      <c r="BJ98" s="77">
        <v>56</v>
      </c>
      <c r="BU98" s="77" t="e">
        <f>#REF!</f>
        <v>#REF!</v>
      </c>
      <c r="BV98" s="70" t="s">
        <v>529</v>
      </c>
    </row>
    <row r="99" spans="1:74" ht="40.5" customHeight="1" thickBot="1" x14ac:dyDescent="0.3">
      <c r="A99" s="107"/>
      <c r="B99" s="108" t="s">
        <v>138</v>
      </c>
      <c r="C99" s="308" t="s">
        <v>530</v>
      </c>
      <c r="D99" s="309"/>
      <c r="E99" s="309"/>
      <c r="F99" s="309"/>
      <c r="G99" s="309"/>
      <c r="H99" s="309"/>
      <c r="I99" s="309"/>
      <c r="J99" s="309"/>
      <c r="K99" s="309"/>
      <c r="L99" s="309"/>
      <c r="M99" s="310"/>
    </row>
    <row r="100" spans="1:74" x14ac:dyDescent="0.25">
      <c r="A100" s="97" t="s">
        <v>129</v>
      </c>
      <c r="B100" s="98" t="s">
        <v>531</v>
      </c>
      <c r="C100" s="318" t="s">
        <v>532</v>
      </c>
      <c r="D100" s="319"/>
      <c r="E100" s="99" t="s">
        <v>87</v>
      </c>
      <c r="F100" s="99" t="s">
        <v>87</v>
      </c>
      <c r="G100" s="99" t="s">
        <v>87</v>
      </c>
      <c r="H100" s="100">
        <f>SUM(H101:H109)</f>
        <v>0</v>
      </c>
      <c r="I100" s="100">
        <f>SUM(I101:I109)</f>
        <v>0</v>
      </c>
      <c r="J100" s="100">
        <f>SUM(J101:J109)</f>
        <v>0</v>
      </c>
      <c r="K100" s="101" t="s">
        <v>129</v>
      </c>
      <c r="L100" s="100">
        <f>SUM(L101:L109)</f>
        <v>5.2691999999999999E-3</v>
      </c>
      <c r="M100" s="102" t="s">
        <v>129</v>
      </c>
      <c r="AG100" s="71" t="s">
        <v>129</v>
      </c>
      <c r="AQ100" s="67">
        <f>SUM(AH101:AH109)</f>
        <v>0</v>
      </c>
      <c r="AR100" s="67">
        <f>SUM(AI101:AI109)</f>
        <v>0</v>
      </c>
      <c r="AS100" s="67">
        <f>SUM(AJ101:AJ109)</f>
        <v>0</v>
      </c>
    </row>
    <row r="101" spans="1:74" x14ac:dyDescent="0.25">
      <c r="A101" s="92" t="s">
        <v>322</v>
      </c>
      <c r="B101" s="69" t="s">
        <v>533</v>
      </c>
      <c r="C101" s="306" t="s">
        <v>534</v>
      </c>
      <c r="D101" s="307"/>
      <c r="E101" s="69" t="s">
        <v>145</v>
      </c>
      <c r="F101" s="77">
        <v>115.92</v>
      </c>
      <c r="G101" s="218">
        <v>0</v>
      </c>
      <c r="H101" s="77">
        <f>F101*AM101</f>
        <v>0</v>
      </c>
      <c r="I101" s="77">
        <f>F101*AN101</f>
        <v>0</v>
      </c>
      <c r="J101" s="77">
        <f>F101*G101</f>
        <v>0</v>
      </c>
      <c r="K101" s="77">
        <v>1.0000000000000001E-5</v>
      </c>
      <c r="L101" s="77">
        <f>F101*K101</f>
        <v>1.1592000000000002E-3</v>
      </c>
      <c r="M101" s="103" t="s">
        <v>35</v>
      </c>
      <c r="X101" s="77">
        <f>IF(AO101="5",BH101,0)</f>
        <v>0</v>
      </c>
      <c r="Z101" s="77">
        <f>IF(AO101="1",BF101,0)</f>
        <v>0</v>
      </c>
      <c r="AA101" s="77">
        <f>IF(AO101="1",BG101,0)</f>
        <v>0</v>
      </c>
      <c r="AB101" s="77">
        <f>IF(AO101="7",BF101,0)</f>
        <v>0</v>
      </c>
      <c r="AC101" s="77">
        <f>IF(AO101="7",BG101,0)</f>
        <v>0</v>
      </c>
      <c r="AD101" s="77">
        <f>IF(AO101="2",BF101,0)</f>
        <v>0</v>
      </c>
      <c r="AE101" s="77">
        <f>IF(AO101="2",BG101,0)</f>
        <v>0</v>
      </c>
      <c r="AF101" s="77">
        <f>IF(AO101="0",BH101,0)</f>
        <v>0</v>
      </c>
      <c r="AG101" s="71" t="s">
        <v>129</v>
      </c>
      <c r="AH101" s="77">
        <f>IF(AL101=0,J101,0)</f>
        <v>0</v>
      </c>
      <c r="AI101" s="77">
        <f>IF(AL101=15,J101,0)</f>
        <v>0</v>
      </c>
      <c r="AJ101" s="77">
        <f>IF(AL101=21,J101,0)</f>
        <v>0</v>
      </c>
      <c r="AL101" s="77">
        <v>21</v>
      </c>
      <c r="AM101" s="77">
        <f>G101*0.156860759</f>
        <v>0</v>
      </c>
      <c r="AN101" s="77">
        <f>G101*(1-0.156860759)</f>
        <v>0</v>
      </c>
      <c r="AO101" s="79" t="s">
        <v>132</v>
      </c>
      <c r="AT101" s="77">
        <f>AU101+AV101</f>
        <v>0</v>
      </c>
      <c r="AU101" s="77">
        <f>F101*AM101</f>
        <v>0</v>
      </c>
      <c r="AV101" s="77">
        <f>F101*AN101</f>
        <v>0</v>
      </c>
      <c r="AW101" s="79" t="s">
        <v>535</v>
      </c>
      <c r="AX101" s="79" t="s">
        <v>320</v>
      </c>
      <c r="AY101" s="71" t="s">
        <v>137</v>
      </c>
      <c r="BA101" s="77">
        <f>AU101+AV101</f>
        <v>0</v>
      </c>
      <c r="BB101" s="77">
        <f>G101/(100-BC101)*100</f>
        <v>0</v>
      </c>
      <c r="BC101" s="77">
        <v>0</v>
      </c>
      <c r="BD101" s="77">
        <f>L101</f>
        <v>1.1592000000000002E-3</v>
      </c>
      <c r="BF101" s="77">
        <f>F101*AM101</f>
        <v>0</v>
      </c>
      <c r="BG101" s="77">
        <f>F101*AN101</f>
        <v>0</v>
      </c>
      <c r="BH101" s="77">
        <f>F101*G101</f>
        <v>0</v>
      </c>
      <c r="BI101" s="77"/>
      <c r="BJ101" s="77">
        <v>85</v>
      </c>
      <c r="BU101" s="77" t="e">
        <f>#REF!</f>
        <v>#REF!</v>
      </c>
      <c r="BV101" s="70" t="s">
        <v>534</v>
      </c>
    </row>
    <row r="102" spans="1:74" ht="67.5" customHeight="1" x14ac:dyDescent="0.25">
      <c r="A102" s="104"/>
      <c r="B102" s="81" t="s">
        <v>138</v>
      </c>
      <c r="C102" s="303" t="s">
        <v>536</v>
      </c>
      <c r="D102" s="304"/>
      <c r="E102" s="304"/>
      <c r="F102" s="304"/>
      <c r="G102" s="304"/>
      <c r="H102" s="304"/>
      <c r="I102" s="304"/>
      <c r="J102" s="304"/>
      <c r="K102" s="304"/>
      <c r="L102" s="304"/>
      <c r="M102" s="305"/>
    </row>
    <row r="103" spans="1:74" x14ac:dyDescent="0.25">
      <c r="A103" s="92" t="s">
        <v>327</v>
      </c>
      <c r="B103" s="69" t="s">
        <v>537</v>
      </c>
      <c r="C103" s="306" t="s">
        <v>538</v>
      </c>
      <c r="D103" s="307"/>
      <c r="E103" s="69" t="s">
        <v>325</v>
      </c>
      <c r="F103" s="77">
        <v>1</v>
      </c>
      <c r="G103" s="218">
        <v>0</v>
      </c>
      <c r="H103" s="77">
        <f>F103*AM103</f>
        <v>0</v>
      </c>
      <c r="I103" s="77">
        <f>F103*AN103</f>
        <v>0</v>
      </c>
      <c r="J103" s="77">
        <f>F103*G103</f>
        <v>0</v>
      </c>
      <c r="K103" s="77">
        <v>6.2E-4</v>
      </c>
      <c r="L103" s="77">
        <f>F103*K103</f>
        <v>6.2E-4</v>
      </c>
      <c r="M103" s="103" t="s">
        <v>35</v>
      </c>
      <c r="X103" s="77">
        <f>IF(AO103="5",BH103,0)</f>
        <v>0</v>
      </c>
      <c r="Z103" s="77">
        <f>IF(AO103="1",BF103,0)</f>
        <v>0</v>
      </c>
      <c r="AA103" s="77">
        <f>IF(AO103="1",BG103,0)</f>
        <v>0</v>
      </c>
      <c r="AB103" s="77">
        <f>IF(AO103="7",BF103,0)</f>
        <v>0</v>
      </c>
      <c r="AC103" s="77">
        <f>IF(AO103="7",BG103,0)</f>
        <v>0</v>
      </c>
      <c r="AD103" s="77">
        <f>IF(AO103="2",BF103,0)</f>
        <v>0</v>
      </c>
      <c r="AE103" s="77">
        <f>IF(AO103="2",BG103,0)</f>
        <v>0</v>
      </c>
      <c r="AF103" s="77">
        <f>IF(AO103="0",BH103,0)</f>
        <v>0</v>
      </c>
      <c r="AG103" s="71" t="s">
        <v>129</v>
      </c>
      <c r="AH103" s="77">
        <f>IF(AL103=0,J103,0)</f>
        <v>0</v>
      </c>
      <c r="AI103" s="77">
        <f>IF(AL103=15,J103,0)</f>
        <v>0</v>
      </c>
      <c r="AJ103" s="77">
        <f>IF(AL103=21,J103,0)</f>
        <v>0</v>
      </c>
      <c r="AL103" s="77">
        <v>21</v>
      </c>
      <c r="AM103" s="77">
        <f>G103*0.310708995</f>
        <v>0</v>
      </c>
      <c r="AN103" s="77">
        <f>G103*(1-0.310708995)</f>
        <v>0</v>
      </c>
      <c r="AO103" s="79" t="s">
        <v>132</v>
      </c>
      <c r="AT103" s="77">
        <f>AU103+AV103</f>
        <v>0</v>
      </c>
      <c r="AU103" s="77">
        <f>F103*AM103</f>
        <v>0</v>
      </c>
      <c r="AV103" s="77">
        <f>F103*AN103</f>
        <v>0</v>
      </c>
      <c r="AW103" s="79" t="s">
        <v>535</v>
      </c>
      <c r="AX103" s="79" t="s">
        <v>320</v>
      </c>
      <c r="AY103" s="71" t="s">
        <v>137</v>
      </c>
      <c r="BA103" s="77">
        <f>AU103+AV103</f>
        <v>0</v>
      </c>
      <c r="BB103" s="77">
        <f>G103/(100-BC103)*100</f>
        <v>0</v>
      </c>
      <c r="BC103" s="77">
        <v>0</v>
      </c>
      <c r="BD103" s="77">
        <f>L103</f>
        <v>6.2E-4</v>
      </c>
      <c r="BF103" s="77">
        <f>F103*AM103</f>
        <v>0</v>
      </c>
      <c r="BG103" s="77">
        <f>F103*AN103</f>
        <v>0</v>
      </c>
      <c r="BH103" s="77">
        <f>F103*G103</f>
        <v>0</v>
      </c>
      <c r="BI103" s="77"/>
      <c r="BJ103" s="77">
        <v>85</v>
      </c>
      <c r="BU103" s="77" t="e">
        <f>#REF!</f>
        <v>#REF!</v>
      </c>
      <c r="BV103" s="70" t="s">
        <v>538</v>
      </c>
    </row>
    <row r="104" spans="1:74" ht="54" customHeight="1" x14ac:dyDescent="0.25">
      <c r="A104" s="104"/>
      <c r="B104" s="81" t="s">
        <v>138</v>
      </c>
      <c r="C104" s="303" t="s">
        <v>539</v>
      </c>
      <c r="D104" s="304"/>
      <c r="E104" s="304"/>
      <c r="F104" s="304"/>
      <c r="G104" s="304"/>
      <c r="H104" s="304"/>
      <c r="I104" s="304"/>
      <c r="J104" s="304"/>
      <c r="K104" s="304"/>
      <c r="L104" s="304"/>
      <c r="M104" s="305"/>
    </row>
    <row r="105" spans="1:74" x14ac:dyDescent="0.25">
      <c r="A105" s="92" t="s">
        <v>331</v>
      </c>
      <c r="B105" s="69" t="s">
        <v>540</v>
      </c>
      <c r="C105" s="306" t="s">
        <v>541</v>
      </c>
      <c r="D105" s="307"/>
      <c r="E105" s="69" t="s">
        <v>325</v>
      </c>
      <c r="F105" s="77">
        <v>1</v>
      </c>
      <c r="G105" s="218">
        <v>0</v>
      </c>
      <c r="H105" s="77">
        <f>F105*AM105</f>
        <v>0</v>
      </c>
      <c r="I105" s="77">
        <f>F105*AN105</f>
        <v>0</v>
      </c>
      <c r="J105" s="77">
        <f>F105*G105</f>
        <v>0</v>
      </c>
      <c r="K105" s="77">
        <v>2.2000000000000001E-4</v>
      </c>
      <c r="L105" s="77">
        <f>F105*K105</f>
        <v>2.2000000000000001E-4</v>
      </c>
      <c r="M105" s="103" t="s">
        <v>35</v>
      </c>
      <c r="X105" s="77">
        <f>IF(AO105="5",BH105,0)</f>
        <v>0</v>
      </c>
      <c r="Z105" s="77">
        <f>IF(AO105="1",BF105,0)</f>
        <v>0</v>
      </c>
      <c r="AA105" s="77">
        <f>IF(AO105="1",BG105,0)</f>
        <v>0</v>
      </c>
      <c r="AB105" s="77">
        <f>IF(AO105="7",BF105,0)</f>
        <v>0</v>
      </c>
      <c r="AC105" s="77">
        <f>IF(AO105="7",BG105,0)</f>
        <v>0</v>
      </c>
      <c r="AD105" s="77">
        <f>IF(AO105="2",BF105,0)</f>
        <v>0</v>
      </c>
      <c r="AE105" s="77">
        <f>IF(AO105="2",BG105,0)</f>
        <v>0</v>
      </c>
      <c r="AF105" s="77">
        <f>IF(AO105="0",BH105,0)</f>
        <v>0</v>
      </c>
      <c r="AG105" s="71" t="s">
        <v>129</v>
      </c>
      <c r="AH105" s="77">
        <f>IF(AL105=0,J105,0)</f>
        <v>0</v>
      </c>
      <c r="AI105" s="77">
        <f>IF(AL105=15,J105,0)</f>
        <v>0</v>
      </c>
      <c r="AJ105" s="77">
        <f>IF(AL105=21,J105,0)</f>
        <v>0</v>
      </c>
      <c r="AL105" s="77">
        <v>21</v>
      </c>
      <c r="AM105" s="77">
        <f>G105*0.209617338</f>
        <v>0</v>
      </c>
      <c r="AN105" s="77">
        <f>G105*(1-0.209617338)</f>
        <v>0</v>
      </c>
      <c r="AO105" s="79" t="s">
        <v>132</v>
      </c>
      <c r="AT105" s="77">
        <f>AU105+AV105</f>
        <v>0</v>
      </c>
      <c r="AU105" s="77">
        <f>F105*AM105</f>
        <v>0</v>
      </c>
      <c r="AV105" s="77">
        <f>F105*AN105</f>
        <v>0</v>
      </c>
      <c r="AW105" s="79" t="s">
        <v>535</v>
      </c>
      <c r="AX105" s="79" t="s">
        <v>320</v>
      </c>
      <c r="AY105" s="71" t="s">
        <v>137</v>
      </c>
      <c r="BA105" s="77">
        <f>AU105+AV105</f>
        <v>0</v>
      </c>
      <c r="BB105" s="77">
        <f>G105/(100-BC105)*100</f>
        <v>0</v>
      </c>
      <c r="BC105" s="77">
        <v>0</v>
      </c>
      <c r="BD105" s="77">
        <f>L105</f>
        <v>2.2000000000000001E-4</v>
      </c>
      <c r="BF105" s="77">
        <f>F105*AM105</f>
        <v>0</v>
      </c>
      <c r="BG105" s="77">
        <f>F105*AN105</f>
        <v>0</v>
      </c>
      <c r="BH105" s="77">
        <f>F105*G105</f>
        <v>0</v>
      </c>
      <c r="BI105" s="77"/>
      <c r="BJ105" s="77">
        <v>85</v>
      </c>
      <c r="BU105" s="77" t="e">
        <f>#REF!</f>
        <v>#REF!</v>
      </c>
      <c r="BV105" s="70" t="s">
        <v>541</v>
      </c>
    </row>
    <row r="106" spans="1:74" ht="54" customHeight="1" x14ac:dyDescent="0.25">
      <c r="A106" s="104"/>
      <c r="B106" s="81" t="s">
        <v>138</v>
      </c>
      <c r="C106" s="303" t="s">
        <v>539</v>
      </c>
      <c r="D106" s="304"/>
      <c r="E106" s="304"/>
      <c r="F106" s="304"/>
      <c r="G106" s="304"/>
      <c r="H106" s="304"/>
      <c r="I106" s="304"/>
      <c r="J106" s="304"/>
      <c r="K106" s="304"/>
      <c r="L106" s="304"/>
      <c r="M106" s="305"/>
    </row>
    <row r="107" spans="1:74" x14ac:dyDescent="0.25">
      <c r="A107" s="92" t="s">
        <v>337</v>
      </c>
      <c r="B107" s="69" t="s">
        <v>542</v>
      </c>
      <c r="C107" s="306" t="s">
        <v>543</v>
      </c>
      <c r="D107" s="307"/>
      <c r="E107" s="69" t="s">
        <v>325</v>
      </c>
      <c r="F107" s="77">
        <v>1</v>
      </c>
      <c r="G107" s="218">
        <v>0</v>
      </c>
      <c r="H107" s="77">
        <f>F107*AM107</f>
        <v>0</v>
      </c>
      <c r="I107" s="77">
        <f>F107*AN107</f>
        <v>0</v>
      </c>
      <c r="J107" s="77">
        <f>F107*G107</f>
        <v>0</v>
      </c>
      <c r="K107" s="77">
        <v>4.0999999999999999E-4</v>
      </c>
      <c r="L107" s="77">
        <f>F107*K107</f>
        <v>4.0999999999999999E-4</v>
      </c>
      <c r="M107" s="103" t="s">
        <v>35</v>
      </c>
      <c r="X107" s="77">
        <f>IF(AO107="5",BH107,0)</f>
        <v>0</v>
      </c>
      <c r="Z107" s="77">
        <f>IF(AO107="1",BF107,0)</f>
        <v>0</v>
      </c>
      <c r="AA107" s="77">
        <f>IF(AO107="1",BG107,0)</f>
        <v>0</v>
      </c>
      <c r="AB107" s="77">
        <f>IF(AO107="7",BF107,0)</f>
        <v>0</v>
      </c>
      <c r="AC107" s="77">
        <f>IF(AO107="7",BG107,0)</f>
        <v>0</v>
      </c>
      <c r="AD107" s="77">
        <f>IF(AO107="2",BF107,0)</f>
        <v>0</v>
      </c>
      <c r="AE107" s="77">
        <f>IF(AO107="2",BG107,0)</f>
        <v>0</v>
      </c>
      <c r="AF107" s="77">
        <f>IF(AO107="0",BH107,0)</f>
        <v>0</v>
      </c>
      <c r="AG107" s="71" t="s">
        <v>129</v>
      </c>
      <c r="AH107" s="77">
        <f>IF(AL107=0,J107,0)</f>
        <v>0</v>
      </c>
      <c r="AI107" s="77">
        <f>IF(AL107=15,J107,0)</f>
        <v>0</v>
      </c>
      <c r="AJ107" s="77">
        <f>IF(AL107=21,J107,0)</f>
        <v>0</v>
      </c>
      <c r="AL107" s="77">
        <v>21</v>
      </c>
      <c r="AM107" s="77">
        <f>G107*0.303018576</f>
        <v>0</v>
      </c>
      <c r="AN107" s="77">
        <f>G107*(1-0.303018576)</f>
        <v>0</v>
      </c>
      <c r="AO107" s="79" t="s">
        <v>132</v>
      </c>
      <c r="AT107" s="77">
        <f>AU107+AV107</f>
        <v>0</v>
      </c>
      <c r="AU107" s="77">
        <f>F107*AM107</f>
        <v>0</v>
      </c>
      <c r="AV107" s="77">
        <f>F107*AN107</f>
        <v>0</v>
      </c>
      <c r="AW107" s="79" t="s">
        <v>535</v>
      </c>
      <c r="AX107" s="79" t="s">
        <v>320</v>
      </c>
      <c r="AY107" s="71" t="s">
        <v>137</v>
      </c>
      <c r="BA107" s="77">
        <f>AU107+AV107</f>
        <v>0</v>
      </c>
      <c r="BB107" s="77">
        <f>G107/(100-BC107)*100</f>
        <v>0</v>
      </c>
      <c r="BC107" s="77">
        <v>0</v>
      </c>
      <c r="BD107" s="77">
        <f>L107</f>
        <v>4.0999999999999999E-4</v>
      </c>
      <c r="BF107" s="77">
        <f>F107*AM107</f>
        <v>0</v>
      </c>
      <c r="BG107" s="77">
        <f>F107*AN107</f>
        <v>0</v>
      </c>
      <c r="BH107" s="77">
        <f>F107*G107</f>
        <v>0</v>
      </c>
      <c r="BI107" s="77"/>
      <c r="BJ107" s="77">
        <v>85</v>
      </c>
      <c r="BU107" s="77" t="e">
        <f>#REF!</f>
        <v>#REF!</v>
      </c>
      <c r="BV107" s="70" t="s">
        <v>543</v>
      </c>
    </row>
    <row r="108" spans="1:74" ht="40.5" customHeight="1" x14ac:dyDescent="0.25">
      <c r="A108" s="104"/>
      <c r="B108" s="81" t="s">
        <v>138</v>
      </c>
      <c r="C108" s="303" t="s">
        <v>544</v>
      </c>
      <c r="D108" s="304"/>
      <c r="E108" s="304"/>
      <c r="F108" s="304"/>
      <c r="G108" s="304"/>
      <c r="H108" s="304"/>
      <c r="I108" s="304"/>
      <c r="J108" s="304"/>
      <c r="K108" s="304"/>
      <c r="L108" s="304"/>
      <c r="M108" s="305"/>
    </row>
    <row r="109" spans="1:74" x14ac:dyDescent="0.25">
      <c r="A109" s="92" t="s">
        <v>342</v>
      </c>
      <c r="B109" s="69" t="s">
        <v>540</v>
      </c>
      <c r="C109" s="306" t="s">
        <v>541</v>
      </c>
      <c r="D109" s="307"/>
      <c r="E109" s="69" t="s">
        <v>325</v>
      </c>
      <c r="F109" s="77">
        <v>13</v>
      </c>
      <c r="G109" s="218">
        <v>0</v>
      </c>
      <c r="H109" s="77">
        <f>F109*AM109</f>
        <v>0</v>
      </c>
      <c r="I109" s="77">
        <f>F109*AN109</f>
        <v>0</v>
      </c>
      <c r="J109" s="77">
        <f>F109*G109</f>
        <v>0</v>
      </c>
      <c r="K109" s="77">
        <v>2.2000000000000001E-4</v>
      </c>
      <c r="L109" s="77">
        <f>F109*K109</f>
        <v>2.8600000000000001E-3</v>
      </c>
      <c r="M109" s="103" t="s">
        <v>35</v>
      </c>
      <c r="X109" s="77">
        <f>IF(AO109="5",BH109,0)</f>
        <v>0</v>
      </c>
      <c r="Z109" s="77">
        <f>IF(AO109="1",BF109,0)</f>
        <v>0</v>
      </c>
      <c r="AA109" s="77">
        <f>IF(AO109="1",BG109,0)</f>
        <v>0</v>
      </c>
      <c r="AB109" s="77">
        <f>IF(AO109="7",BF109,0)</f>
        <v>0</v>
      </c>
      <c r="AC109" s="77">
        <f>IF(AO109="7",BG109,0)</f>
        <v>0</v>
      </c>
      <c r="AD109" s="77">
        <f>IF(AO109="2",BF109,0)</f>
        <v>0</v>
      </c>
      <c r="AE109" s="77">
        <f>IF(AO109="2",BG109,0)</f>
        <v>0</v>
      </c>
      <c r="AF109" s="77">
        <f>IF(AO109="0",BH109,0)</f>
        <v>0</v>
      </c>
      <c r="AG109" s="71" t="s">
        <v>129</v>
      </c>
      <c r="AH109" s="77">
        <f>IF(AL109=0,J109,0)</f>
        <v>0</v>
      </c>
      <c r="AI109" s="77">
        <f>IF(AL109=15,J109,0)</f>
        <v>0</v>
      </c>
      <c r="AJ109" s="77">
        <f>IF(AL109=21,J109,0)</f>
        <v>0</v>
      </c>
      <c r="AL109" s="77">
        <v>21</v>
      </c>
      <c r="AM109" s="77">
        <f>G109*0.209617338</f>
        <v>0</v>
      </c>
      <c r="AN109" s="77">
        <f>G109*(1-0.209617338)</f>
        <v>0</v>
      </c>
      <c r="AO109" s="79" t="s">
        <v>132</v>
      </c>
      <c r="AT109" s="77">
        <f>AU109+AV109</f>
        <v>0</v>
      </c>
      <c r="AU109" s="77">
        <f>F109*AM109</f>
        <v>0</v>
      </c>
      <c r="AV109" s="77">
        <f>F109*AN109</f>
        <v>0</v>
      </c>
      <c r="AW109" s="79" t="s">
        <v>535</v>
      </c>
      <c r="AX109" s="79" t="s">
        <v>320</v>
      </c>
      <c r="AY109" s="71" t="s">
        <v>137</v>
      </c>
      <c r="BA109" s="77">
        <f>AU109+AV109</f>
        <v>0</v>
      </c>
      <c r="BB109" s="77">
        <f>G109/(100-BC109)*100</f>
        <v>0</v>
      </c>
      <c r="BC109" s="77">
        <v>0</v>
      </c>
      <c r="BD109" s="77">
        <f>L109</f>
        <v>2.8600000000000001E-3</v>
      </c>
      <c r="BF109" s="77">
        <f>F109*AM109</f>
        <v>0</v>
      </c>
      <c r="BG109" s="77">
        <f>F109*AN109</f>
        <v>0</v>
      </c>
      <c r="BH109" s="77">
        <f>F109*G109</f>
        <v>0</v>
      </c>
      <c r="BI109" s="77"/>
      <c r="BJ109" s="77">
        <v>85</v>
      </c>
      <c r="BU109" s="77" t="e">
        <f>#REF!</f>
        <v>#REF!</v>
      </c>
      <c r="BV109" s="70" t="s">
        <v>541</v>
      </c>
    </row>
    <row r="110" spans="1:74" ht="40.5" customHeight="1" x14ac:dyDescent="0.25">
      <c r="A110" s="104"/>
      <c r="B110" s="81" t="s">
        <v>138</v>
      </c>
      <c r="C110" s="303" t="s">
        <v>544</v>
      </c>
      <c r="D110" s="304"/>
      <c r="E110" s="304"/>
      <c r="F110" s="304"/>
      <c r="G110" s="304"/>
      <c r="H110" s="304"/>
      <c r="I110" s="304"/>
      <c r="J110" s="304"/>
      <c r="K110" s="304"/>
      <c r="L110" s="304"/>
      <c r="M110" s="305"/>
    </row>
    <row r="111" spans="1:74" x14ac:dyDescent="0.25">
      <c r="A111" s="105" t="s">
        <v>129</v>
      </c>
      <c r="B111" s="74" t="s">
        <v>335</v>
      </c>
      <c r="C111" s="314" t="s">
        <v>336</v>
      </c>
      <c r="D111" s="315"/>
      <c r="E111" s="75" t="s">
        <v>87</v>
      </c>
      <c r="F111" s="75" t="s">
        <v>87</v>
      </c>
      <c r="G111" s="75" t="s">
        <v>87</v>
      </c>
      <c r="H111" s="67">
        <f>SUM(H112:H136)</f>
        <v>0</v>
      </c>
      <c r="I111" s="67">
        <f>SUM(I112:I136)</f>
        <v>0</v>
      </c>
      <c r="J111" s="67">
        <f>SUM(J112:J136)</f>
        <v>0</v>
      </c>
      <c r="K111" s="71" t="s">
        <v>129</v>
      </c>
      <c r="L111" s="67">
        <f>SUM(L112:L136)</f>
        <v>1.0244300000000002</v>
      </c>
      <c r="M111" s="106" t="s">
        <v>129</v>
      </c>
      <c r="AG111" s="71" t="s">
        <v>129</v>
      </c>
      <c r="AQ111" s="67">
        <f>SUM(AH112:AH136)</f>
        <v>0</v>
      </c>
      <c r="AR111" s="67">
        <f>SUM(AI112:AI136)</f>
        <v>0</v>
      </c>
      <c r="AS111" s="67">
        <f>SUM(AJ112:AJ136)</f>
        <v>0</v>
      </c>
    </row>
    <row r="112" spans="1:74" x14ac:dyDescent="0.25">
      <c r="A112" s="92" t="s">
        <v>346</v>
      </c>
      <c r="B112" s="69" t="s">
        <v>545</v>
      </c>
      <c r="C112" s="306" t="s">
        <v>546</v>
      </c>
      <c r="D112" s="307"/>
      <c r="E112" s="69" t="s">
        <v>145</v>
      </c>
      <c r="F112" s="77">
        <v>96.6</v>
      </c>
      <c r="G112" s="218">
        <v>0</v>
      </c>
      <c r="H112" s="77">
        <f>F112*AM112</f>
        <v>0</v>
      </c>
      <c r="I112" s="77">
        <f>F112*AN112</f>
        <v>0</v>
      </c>
      <c r="J112" s="77">
        <f>F112*G112</f>
        <v>0</v>
      </c>
      <c r="K112" s="77">
        <v>0</v>
      </c>
      <c r="L112" s="77">
        <f>F112*K112</f>
        <v>0</v>
      </c>
      <c r="M112" s="103" t="s">
        <v>35</v>
      </c>
      <c r="X112" s="77">
        <f>IF(AO112="5",BH112,0)</f>
        <v>0</v>
      </c>
      <c r="Z112" s="77">
        <f>IF(AO112="1",BF112,0)</f>
        <v>0</v>
      </c>
      <c r="AA112" s="77">
        <f>IF(AO112="1",BG112,0)</f>
        <v>0</v>
      </c>
      <c r="AB112" s="77">
        <f>IF(AO112="7",BF112,0)</f>
        <v>0</v>
      </c>
      <c r="AC112" s="77">
        <f>IF(AO112="7",BG112,0)</f>
        <v>0</v>
      </c>
      <c r="AD112" s="77">
        <f>IF(AO112="2",BF112,0)</f>
        <v>0</v>
      </c>
      <c r="AE112" s="77">
        <f>IF(AO112="2",BG112,0)</f>
        <v>0</v>
      </c>
      <c r="AF112" s="77">
        <f>IF(AO112="0",BH112,0)</f>
        <v>0</v>
      </c>
      <c r="AG112" s="71" t="s">
        <v>129</v>
      </c>
      <c r="AH112" s="77">
        <f>IF(AL112=0,J112,0)</f>
        <v>0</v>
      </c>
      <c r="AI112" s="77">
        <f>IF(AL112=15,J112,0)</f>
        <v>0</v>
      </c>
      <c r="AJ112" s="77">
        <f>IF(AL112=21,J112,0)</f>
        <v>0</v>
      </c>
      <c r="AL112" s="77">
        <v>21</v>
      </c>
      <c r="AM112" s="77">
        <f>G112*0.024710425</f>
        <v>0</v>
      </c>
      <c r="AN112" s="77">
        <f>G112*(1-0.024710425)</f>
        <v>0</v>
      </c>
      <c r="AO112" s="79" t="s">
        <v>132</v>
      </c>
      <c r="AT112" s="77">
        <f>AU112+AV112</f>
        <v>0</v>
      </c>
      <c r="AU112" s="77">
        <f>F112*AM112</f>
        <v>0</v>
      </c>
      <c r="AV112" s="77">
        <f>F112*AN112</f>
        <v>0</v>
      </c>
      <c r="AW112" s="79" t="s">
        <v>340</v>
      </c>
      <c r="AX112" s="79" t="s">
        <v>320</v>
      </c>
      <c r="AY112" s="71" t="s">
        <v>137</v>
      </c>
      <c r="BA112" s="77">
        <f>AU112+AV112</f>
        <v>0</v>
      </c>
      <c r="BB112" s="77">
        <f>G112/(100-BC112)*100</f>
        <v>0</v>
      </c>
      <c r="BC112" s="77">
        <v>0</v>
      </c>
      <c r="BD112" s="77">
        <f>L112</f>
        <v>0</v>
      </c>
      <c r="BF112" s="77">
        <f>F112*AM112</f>
        <v>0</v>
      </c>
      <c r="BG112" s="77">
        <f>F112*AN112</f>
        <v>0</v>
      </c>
      <c r="BH112" s="77">
        <f>F112*G112</f>
        <v>0</v>
      </c>
      <c r="BI112" s="77"/>
      <c r="BJ112" s="77">
        <v>89</v>
      </c>
      <c r="BU112" s="77" t="e">
        <f>#REF!</f>
        <v>#REF!</v>
      </c>
      <c r="BV112" s="70" t="s">
        <v>546</v>
      </c>
    </row>
    <row r="113" spans="1:74" ht="40.5" customHeight="1" x14ac:dyDescent="0.25">
      <c r="A113" s="104"/>
      <c r="B113" s="81" t="s">
        <v>138</v>
      </c>
      <c r="C113" s="303" t="s">
        <v>547</v>
      </c>
      <c r="D113" s="304"/>
      <c r="E113" s="304"/>
      <c r="F113" s="304"/>
      <c r="G113" s="304"/>
      <c r="H113" s="304"/>
      <c r="I113" s="304"/>
      <c r="J113" s="304"/>
      <c r="K113" s="304"/>
      <c r="L113" s="304"/>
      <c r="M113" s="305"/>
    </row>
    <row r="114" spans="1:74" x14ac:dyDescent="0.25">
      <c r="A114" s="92" t="s">
        <v>288</v>
      </c>
      <c r="B114" s="69" t="s">
        <v>548</v>
      </c>
      <c r="C114" s="306" t="s">
        <v>549</v>
      </c>
      <c r="D114" s="307"/>
      <c r="E114" s="69" t="s">
        <v>145</v>
      </c>
      <c r="F114" s="77">
        <v>96.6</v>
      </c>
      <c r="G114" s="218">
        <v>0</v>
      </c>
      <c r="H114" s="77">
        <f>F114*AM114</f>
        <v>0</v>
      </c>
      <c r="I114" s="77">
        <f>F114*AN114</f>
        <v>0</v>
      </c>
      <c r="J114" s="77">
        <f>F114*G114</f>
        <v>0</v>
      </c>
      <c r="K114" s="77">
        <v>0</v>
      </c>
      <c r="L114" s="77">
        <f>F114*K114</f>
        <v>0</v>
      </c>
      <c r="M114" s="103" t="s">
        <v>35</v>
      </c>
      <c r="X114" s="77">
        <f>IF(AO114="5",BH114,0)</f>
        <v>0</v>
      </c>
      <c r="Z114" s="77">
        <f>IF(AO114="1",BF114,0)</f>
        <v>0</v>
      </c>
      <c r="AA114" s="77">
        <f>IF(AO114="1",BG114,0)</f>
        <v>0</v>
      </c>
      <c r="AB114" s="77">
        <f>IF(AO114="7",BF114,0)</f>
        <v>0</v>
      </c>
      <c r="AC114" s="77">
        <f>IF(AO114="7",BG114,0)</f>
        <v>0</v>
      </c>
      <c r="AD114" s="77">
        <f>IF(AO114="2",BF114,0)</f>
        <v>0</v>
      </c>
      <c r="AE114" s="77">
        <f>IF(AO114="2",BG114,0)</f>
        <v>0</v>
      </c>
      <c r="AF114" s="77">
        <f>IF(AO114="0",BH114,0)</f>
        <v>0</v>
      </c>
      <c r="AG114" s="71" t="s">
        <v>129</v>
      </c>
      <c r="AH114" s="77">
        <f>IF(AL114=0,J114,0)</f>
        <v>0</v>
      </c>
      <c r="AI114" s="77">
        <f>IF(AL114=15,J114,0)</f>
        <v>0</v>
      </c>
      <c r="AJ114" s="77">
        <f>IF(AL114=21,J114,0)</f>
        <v>0</v>
      </c>
      <c r="AL114" s="77">
        <v>21</v>
      </c>
      <c r="AM114" s="77">
        <f>G114*0.02512</f>
        <v>0</v>
      </c>
      <c r="AN114" s="77">
        <f>G114*(1-0.02512)</f>
        <v>0</v>
      </c>
      <c r="AO114" s="79" t="s">
        <v>132</v>
      </c>
      <c r="AT114" s="77">
        <f>AU114+AV114</f>
        <v>0</v>
      </c>
      <c r="AU114" s="77">
        <f>F114*AM114</f>
        <v>0</v>
      </c>
      <c r="AV114" s="77">
        <f>F114*AN114</f>
        <v>0</v>
      </c>
      <c r="AW114" s="79" t="s">
        <v>340</v>
      </c>
      <c r="AX114" s="79" t="s">
        <v>320</v>
      </c>
      <c r="AY114" s="71" t="s">
        <v>137</v>
      </c>
      <c r="BA114" s="77">
        <f>AU114+AV114</f>
        <v>0</v>
      </c>
      <c r="BB114" s="77">
        <f>G114/(100-BC114)*100</f>
        <v>0</v>
      </c>
      <c r="BC114" s="77">
        <v>0</v>
      </c>
      <c r="BD114" s="77">
        <f>L114</f>
        <v>0</v>
      </c>
      <c r="BF114" s="77">
        <f>F114*AM114</f>
        <v>0</v>
      </c>
      <c r="BG114" s="77">
        <f>F114*AN114</f>
        <v>0</v>
      </c>
      <c r="BH114" s="77">
        <f>F114*G114</f>
        <v>0</v>
      </c>
      <c r="BI114" s="77"/>
      <c r="BJ114" s="77">
        <v>89</v>
      </c>
      <c r="BU114" s="77" t="e">
        <f>#REF!</f>
        <v>#REF!</v>
      </c>
      <c r="BV114" s="70" t="s">
        <v>549</v>
      </c>
    </row>
    <row r="115" spans="1:74" ht="40.5" customHeight="1" x14ac:dyDescent="0.25">
      <c r="A115" s="104"/>
      <c r="B115" s="81" t="s">
        <v>138</v>
      </c>
      <c r="C115" s="303" t="s">
        <v>550</v>
      </c>
      <c r="D115" s="304"/>
      <c r="E115" s="304"/>
      <c r="F115" s="304"/>
      <c r="G115" s="304"/>
      <c r="H115" s="304"/>
      <c r="I115" s="304"/>
      <c r="J115" s="304"/>
      <c r="K115" s="304"/>
      <c r="L115" s="304"/>
      <c r="M115" s="305"/>
    </row>
    <row r="116" spans="1:74" x14ac:dyDescent="0.25">
      <c r="A116" s="92" t="s">
        <v>353</v>
      </c>
      <c r="B116" s="69" t="s">
        <v>375</v>
      </c>
      <c r="C116" s="306" t="s">
        <v>376</v>
      </c>
      <c r="D116" s="307"/>
      <c r="E116" s="69" t="s">
        <v>145</v>
      </c>
      <c r="F116" s="77">
        <v>106.26</v>
      </c>
      <c r="G116" s="218">
        <v>0</v>
      </c>
      <c r="H116" s="77">
        <f>F116*AM116</f>
        <v>0</v>
      </c>
      <c r="I116" s="77">
        <f>F116*AN116</f>
        <v>0</v>
      </c>
      <c r="J116" s="77">
        <f>F116*G116</f>
        <v>0</v>
      </c>
      <c r="K116" s="77">
        <v>0</v>
      </c>
      <c r="L116" s="77">
        <f>F116*K116</f>
        <v>0</v>
      </c>
      <c r="M116" s="103" t="s">
        <v>35</v>
      </c>
      <c r="X116" s="77">
        <f>IF(AO116="5",BH116,0)</f>
        <v>0</v>
      </c>
      <c r="Z116" s="77">
        <f>IF(AO116="1",BF116,0)</f>
        <v>0</v>
      </c>
      <c r="AA116" s="77">
        <f>IF(AO116="1",BG116,0)</f>
        <v>0</v>
      </c>
      <c r="AB116" s="77">
        <f>IF(AO116="7",BF116,0)</f>
        <v>0</v>
      </c>
      <c r="AC116" s="77">
        <f>IF(AO116="7",BG116,0)</f>
        <v>0</v>
      </c>
      <c r="AD116" s="77">
        <f>IF(AO116="2",BF116,0)</f>
        <v>0</v>
      </c>
      <c r="AE116" s="77">
        <f>IF(AO116="2",BG116,0)</f>
        <v>0</v>
      </c>
      <c r="AF116" s="77">
        <f>IF(AO116="0",BH116,0)</f>
        <v>0</v>
      </c>
      <c r="AG116" s="71" t="s">
        <v>129</v>
      </c>
      <c r="AH116" s="77">
        <f>IF(AL116=0,J116,0)</f>
        <v>0</v>
      </c>
      <c r="AI116" s="77">
        <f>IF(AL116=15,J116,0)</f>
        <v>0</v>
      </c>
      <c r="AJ116" s="77">
        <f>IF(AL116=21,J116,0)</f>
        <v>0</v>
      </c>
      <c r="AL116" s="77">
        <v>21</v>
      </c>
      <c r="AM116" s="77">
        <f>G116*0.352747618</f>
        <v>0</v>
      </c>
      <c r="AN116" s="77">
        <f>G116*(1-0.352747618)</f>
        <v>0</v>
      </c>
      <c r="AO116" s="79" t="s">
        <v>132</v>
      </c>
      <c r="AT116" s="77">
        <f>AU116+AV116</f>
        <v>0</v>
      </c>
      <c r="AU116" s="77">
        <f>F116*AM116</f>
        <v>0</v>
      </c>
      <c r="AV116" s="77">
        <f>F116*AN116</f>
        <v>0</v>
      </c>
      <c r="AW116" s="79" t="s">
        <v>340</v>
      </c>
      <c r="AX116" s="79" t="s">
        <v>320</v>
      </c>
      <c r="AY116" s="71" t="s">
        <v>137</v>
      </c>
      <c r="BA116" s="77">
        <f>AU116+AV116</f>
        <v>0</v>
      </c>
      <c r="BB116" s="77">
        <f>G116/(100-BC116)*100</f>
        <v>0</v>
      </c>
      <c r="BC116" s="77">
        <v>0</v>
      </c>
      <c r="BD116" s="77">
        <f>L116</f>
        <v>0</v>
      </c>
      <c r="BF116" s="77">
        <f>F116*AM116</f>
        <v>0</v>
      </c>
      <c r="BG116" s="77">
        <f>F116*AN116</f>
        <v>0</v>
      </c>
      <c r="BH116" s="77">
        <f>F116*G116</f>
        <v>0</v>
      </c>
      <c r="BI116" s="77"/>
      <c r="BJ116" s="77">
        <v>89</v>
      </c>
      <c r="BU116" s="77" t="e">
        <f>#REF!</f>
        <v>#REF!</v>
      </c>
      <c r="BV116" s="70" t="s">
        <v>376</v>
      </c>
    </row>
    <row r="117" spans="1:74" ht="40.5" customHeight="1" x14ac:dyDescent="0.25">
      <c r="A117" s="104"/>
      <c r="B117" s="81" t="s">
        <v>138</v>
      </c>
      <c r="C117" s="303" t="s">
        <v>551</v>
      </c>
      <c r="D117" s="304"/>
      <c r="E117" s="304"/>
      <c r="F117" s="304"/>
      <c r="G117" s="304"/>
      <c r="H117" s="304"/>
      <c r="I117" s="304"/>
      <c r="J117" s="304"/>
      <c r="K117" s="304"/>
      <c r="L117" s="304"/>
      <c r="M117" s="305"/>
    </row>
    <row r="118" spans="1:74" x14ac:dyDescent="0.25">
      <c r="A118" s="92" t="s">
        <v>357</v>
      </c>
      <c r="B118" s="69" t="s">
        <v>552</v>
      </c>
      <c r="C118" s="306" t="s">
        <v>553</v>
      </c>
      <c r="D118" s="307"/>
      <c r="E118" s="69" t="s">
        <v>325</v>
      </c>
      <c r="F118" s="77">
        <v>3</v>
      </c>
      <c r="G118" s="218">
        <v>0</v>
      </c>
      <c r="H118" s="77">
        <f>F118*AM118</f>
        <v>0</v>
      </c>
      <c r="I118" s="77">
        <f>F118*AN118</f>
        <v>0</v>
      </c>
      <c r="J118" s="77">
        <f>F118*G118</f>
        <v>0</v>
      </c>
      <c r="K118" s="77">
        <v>2.1000000000000001E-4</v>
      </c>
      <c r="L118" s="77">
        <f>F118*K118</f>
        <v>6.3000000000000003E-4</v>
      </c>
      <c r="M118" s="103" t="s">
        <v>35</v>
      </c>
      <c r="X118" s="77">
        <f>IF(AO118="5",BH118,0)</f>
        <v>0</v>
      </c>
      <c r="Z118" s="77">
        <f>IF(AO118="1",BF118,0)</f>
        <v>0</v>
      </c>
      <c r="AA118" s="77">
        <f>IF(AO118="1",BG118,0)</f>
        <v>0</v>
      </c>
      <c r="AB118" s="77">
        <f>IF(AO118="7",BF118,0)</f>
        <v>0</v>
      </c>
      <c r="AC118" s="77">
        <f>IF(AO118="7",BG118,0)</f>
        <v>0</v>
      </c>
      <c r="AD118" s="77">
        <f>IF(AO118="2",BF118,0)</f>
        <v>0</v>
      </c>
      <c r="AE118" s="77">
        <f>IF(AO118="2",BG118,0)</f>
        <v>0</v>
      </c>
      <c r="AF118" s="77">
        <f>IF(AO118="0",BH118,0)</f>
        <v>0</v>
      </c>
      <c r="AG118" s="71" t="s">
        <v>129</v>
      </c>
      <c r="AH118" s="77">
        <f>IF(AL118=0,J118,0)</f>
        <v>0</v>
      </c>
      <c r="AI118" s="77">
        <f>IF(AL118=15,J118,0)</f>
        <v>0</v>
      </c>
      <c r="AJ118" s="77">
        <f>IF(AL118=21,J118,0)</f>
        <v>0</v>
      </c>
      <c r="AL118" s="77">
        <v>21</v>
      </c>
      <c r="AM118" s="77">
        <f>G118*0.336476868</f>
        <v>0</v>
      </c>
      <c r="AN118" s="77">
        <f>G118*(1-0.336476868)</f>
        <v>0</v>
      </c>
      <c r="AO118" s="79" t="s">
        <v>132</v>
      </c>
      <c r="AT118" s="77">
        <f>AU118+AV118</f>
        <v>0</v>
      </c>
      <c r="AU118" s="77">
        <f>F118*AM118</f>
        <v>0</v>
      </c>
      <c r="AV118" s="77">
        <f>F118*AN118</f>
        <v>0</v>
      </c>
      <c r="AW118" s="79" t="s">
        <v>340</v>
      </c>
      <c r="AX118" s="79" t="s">
        <v>320</v>
      </c>
      <c r="AY118" s="71" t="s">
        <v>137</v>
      </c>
      <c r="BA118" s="77">
        <f>AU118+AV118</f>
        <v>0</v>
      </c>
      <c r="BB118" s="77">
        <f>G118/(100-BC118)*100</f>
        <v>0</v>
      </c>
      <c r="BC118" s="77">
        <v>0</v>
      </c>
      <c r="BD118" s="77">
        <f>L118</f>
        <v>6.3000000000000003E-4</v>
      </c>
      <c r="BF118" s="77">
        <f>F118*AM118</f>
        <v>0</v>
      </c>
      <c r="BG118" s="77">
        <f>F118*AN118</f>
        <v>0</v>
      </c>
      <c r="BH118" s="77">
        <f>F118*G118</f>
        <v>0</v>
      </c>
      <c r="BI118" s="77"/>
      <c r="BJ118" s="77">
        <v>89</v>
      </c>
      <c r="BU118" s="77" t="e">
        <f>#REF!</f>
        <v>#REF!</v>
      </c>
      <c r="BV118" s="70" t="s">
        <v>553</v>
      </c>
    </row>
    <row r="119" spans="1:74" ht="27" customHeight="1" x14ac:dyDescent="0.25">
      <c r="A119" s="104"/>
      <c r="B119" s="81" t="s">
        <v>138</v>
      </c>
      <c r="C119" s="303" t="s">
        <v>554</v>
      </c>
      <c r="D119" s="304"/>
      <c r="E119" s="304"/>
      <c r="F119" s="304"/>
      <c r="G119" s="304"/>
      <c r="H119" s="304"/>
      <c r="I119" s="304"/>
      <c r="J119" s="304"/>
      <c r="K119" s="304"/>
      <c r="L119" s="304"/>
      <c r="M119" s="305"/>
    </row>
    <row r="120" spans="1:74" x14ac:dyDescent="0.25">
      <c r="A120" s="92" t="s">
        <v>361</v>
      </c>
      <c r="B120" s="69" t="s">
        <v>555</v>
      </c>
      <c r="C120" s="306" t="s">
        <v>556</v>
      </c>
      <c r="D120" s="307"/>
      <c r="E120" s="69" t="s">
        <v>325</v>
      </c>
      <c r="F120" s="77">
        <v>3</v>
      </c>
      <c r="G120" s="218">
        <v>0</v>
      </c>
      <c r="H120" s="77">
        <f>F120*AM120</f>
        <v>0</v>
      </c>
      <c r="I120" s="77">
        <f>F120*AN120</f>
        <v>0</v>
      </c>
      <c r="J120" s="77">
        <f>F120*G120</f>
        <v>0</v>
      </c>
      <c r="K120" s="77">
        <v>4.0999999999999999E-4</v>
      </c>
      <c r="L120" s="77">
        <f>F120*K120</f>
        <v>1.23E-3</v>
      </c>
      <c r="M120" s="103" t="s">
        <v>35</v>
      </c>
      <c r="X120" s="77">
        <f>IF(AO120="5",BH120,0)</f>
        <v>0</v>
      </c>
      <c r="Z120" s="77">
        <f>IF(AO120="1",BF120,0)</f>
        <v>0</v>
      </c>
      <c r="AA120" s="77">
        <f>IF(AO120="1",BG120,0)</f>
        <v>0</v>
      </c>
      <c r="AB120" s="77">
        <f>IF(AO120="7",BF120,0)</f>
        <v>0</v>
      </c>
      <c r="AC120" s="77">
        <f>IF(AO120="7",BG120,0)</f>
        <v>0</v>
      </c>
      <c r="AD120" s="77">
        <f>IF(AO120="2",BF120,0)</f>
        <v>0</v>
      </c>
      <c r="AE120" s="77">
        <f>IF(AO120="2",BG120,0)</f>
        <v>0</v>
      </c>
      <c r="AF120" s="77">
        <f>IF(AO120="0",BH120,0)</f>
        <v>0</v>
      </c>
      <c r="AG120" s="71" t="s">
        <v>129</v>
      </c>
      <c r="AH120" s="77">
        <f>IF(AL120=0,J120,0)</f>
        <v>0</v>
      </c>
      <c r="AI120" s="77">
        <f>IF(AL120=15,J120,0)</f>
        <v>0</v>
      </c>
      <c r="AJ120" s="77">
        <f>IF(AL120=21,J120,0)</f>
        <v>0</v>
      </c>
      <c r="AL120" s="77">
        <v>21</v>
      </c>
      <c r="AM120" s="77">
        <f>G120*0.158887987</f>
        <v>0</v>
      </c>
      <c r="AN120" s="77">
        <f>G120*(1-0.158887987)</f>
        <v>0</v>
      </c>
      <c r="AO120" s="79" t="s">
        <v>132</v>
      </c>
      <c r="AT120" s="77">
        <f>AU120+AV120</f>
        <v>0</v>
      </c>
      <c r="AU120" s="77">
        <f>F120*AM120</f>
        <v>0</v>
      </c>
      <c r="AV120" s="77">
        <f>F120*AN120</f>
        <v>0</v>
      </c>
      <c r="AW120" s="79" t="s">
        <v>340</v>
      </c>
      <c r="AX120" s="79" t="s">
        <v>320</v>
      </c>
      <c r="AY120" s="71" t="s">
        <v>137</v>
      </c>
      <c r="BA120" s="77">
        <f>AU120+AV120</f>
        <v>0</v>
      </c>
      <c r="BB120" s="77">
        <f>G120/(100-BC120)*100</f>
        <v>0</v>
      </c>
      <c r="BC120" s="77">
        <v>0</v>
      </c>
      <c r="BD120" s="77">
        <f>L120</f>
        <v>1.23E-3</v>
      </c>
      <c r="BF120" s="77">
        <f>F120*AM120</f>
        <v>0</v>
      </c>
      <c r="BG120" s="77">
        <f>F120*AN120</f>
        <v>0</v>
      </c>
      <c r="BH120" s="77">
        <f>F120*G120</f>
        <v>0</v>
      </c>
      <c r="BI120" s="77"/>
      <c r="BJ120" s="77">
        <v>89</v>
      </c>
      <c r="BU120" s="77" t="e">
        <f>#REF!</f>
        <v>#REF!</v>
      </c>
      <c r="BV120" s="70" t="s">
        <v>556</v>
      </c>
    </row>
    <row r="121" spans="1:74" ht="13.5" customHeight="1" x14ac:dyDescent="0.25">
      <c r="A121" s="104"/>
      <c r="B121" s="81" t="s">
        <v>138</v>
      </c>
      <c r="C121" s="303" t="s">
        <v>557</v>
      </c>
      <c r="D121" s="304"/>
      <c r="E121" s="304"/>
      <c r="F121" s="304"/>
      <c r="G121" s="304"/>
      <c r="H121" s="304"/>
      <c r="I121" s="304"/>
      <c r="J121" s="304"/>
      <c r="K121" s="304"/>
      <c r="L121" s="304"/>
      <c r="M121" s="305"/>
    </row>
    <row r="122" spans="1:74" x14ac:dyDescent="0.25">
      <c r="A122" s="92" t="s">
        <v>366</v>
      </c>
      <c r="B122" s="69" t="s">
        <v>558</v>
      </c>
      <c r="C122" s="306" t="s">
        <v>559</v>
      </c>
      <c r="D122" s="307"/>
      <c r="E122" s="69" t="s">
        <v>325</v>
      </c>
      <c r="F122" s="77">
        <v>1</v>
      </c>
      <c r="G122" s="218">
        <v>0</v>
      </c>
      <c r="H122" s="77">
        <f>F122*AM122</f>
        <v>0</v>
      </c>
      <c r="I122" s="77">
        <f>F122*AN122</f>
        <v>0</v>
      </c>
      <c r="J122" s="77">
        <f>F122*G122</f>
        <v>0</v>
      </c>
      <c r="K122" s="77">
        <v>2.2000000000000001E-4</v>
      </c>
      <c r="L122" s="77">
        <f>F122*K122</f>
        <v>2.2000000000000001E-4</v>
      </c>
      <c r="M122" s="103" t="s">
        <v>35</v>
      </c>
      <c r="X122" s="77">
        <f>IF(AO122="5",BH122,0)</f>
        <v>0</v>
      </c>
      <c r="Z122" s="77">
        <f>IF(AO122="1",BF122,0)</f>
        <v>0</v>
      </c>
      <c r="AA122" s="77">
        <f>IF(AO122="1",BG122,0)</f>
        <v>0</v>
      </c>
      <c r="AB122" s="77">
        <f>IF(AO122="7",BF122,0)</f>
        <v>0</v>
      </c>
      <c r="AC122" s="77">
        <f>IF(AO122="7",BG122,0)</f>
        <v>0</v>
      </c>
      <c r="AD122" s="77">
        <f>IF(AO122="2",BF122,0)</f>
        <v>0</v>
      </c>
      <c r="AE122" s="77">
        <f>IF(AO122="2",BG122,0)</f>
        <v>0</v>
      </c>
      <c r="AF122" s="77">
        <f>IF(AO122="0",BH122,0)</f>
        <v>0</v>
      </c>
      <c r="AG122" s="71" t="s">
        <v>129</v>
      </c>
      <c r="AH122" s="77">
        <f>IF(AL122=0,J122,0)</f>
        <v>0</v>
      </c>
      <c r="AI122" s="77">
        <f>IF(AL122=15,J122,0)</f>
        <v>0</v>
      </c>
      <c r="AJ122" s="77">
        <f>IF(AL122=21,J122,0)</f>
        <v>0</v>
      </c>
      <c r="AL122" s="77">
        <v>21</v>
      </c>
      <c r="AM122" s="77">
        <f>G122*0.108707555</f>
        <v>0</v>
      </c>
      <c r="AN122" s="77">
        <f>G122*(1-0.108707555)</f>
        <v>0</v>
      </c>
      <c r="AO122" s="79" t="s">
        <v>132</v>
      </c>
      <c r="AT122" s="77">
        <f>AU122+AV122</f>
        <v>0</v>
      </c>
      <c r="AU122" s="77">
        <f>F122*AM122</f>
        <v>0</v>
      </c>
      <c r="AV122" s="77">
        <f>F122*AN122</f>
        <v>0</v>
      </c>
      <c r="AW122" s="79" t="s">
        <v>340</v>
      </c>
      <c r="AX122" s="79" t="s">
        <v>320</v>
      </c>
      <c r="AY122" s="71" t="s">
        <v>137</v>
      </c>
      <c r="BA122" s="77">
        <f>AU122+AV122</f>
        <v>0</v>
      </c>
      <c r="BB122" s="77">
        <f>G122/(100-BC122)*100</f>
        <v>0</v>
      </c>
      <c r="BC122" s="77">
        <v>0</v>
      </c>
      <c r="BD122" s="77">
        <f>L122</f>
        <v>2.2000000000000001E-4</v>
      </c>
      <c r="BF122" s="77">
        <f>F122*AM122</f>
        <v>0</v>
      </c>
      <c r="BG122" s="77">
        <f>F122*AN122</f>
        <v>0</v>
      </c>
      <c r="BH122" s="77">
        <f>F122*G122</f>
        <v>0</v>
      </c>
      <c r="BI122" s="77"/>
      <c r="BJ122" s="77">
        <v>89</v>
      </c>
      <c r="BU122" s="77" t="e">
        <f>#REF!</f>
        <v>#REF!</v>
      </c>
      <c r="BV122" s="70" t="s">
        <v>559</v>
      </c>
    </row>
    <row r="123" spans="1:74" ht="13.5" customHeight="1" x14ac:dyDescent="0.25">
      <c r="A123" s="104"/>
      <c r="B123" s="81" t="s">
        <v>138</v>
      </c>
      <c r="C123" s="303" t="s">
        <v>557</v>
      </c>
      <c r="D123" s="304"/>
      <c r="E123" s="304"/>
      <c r="F123" s="304"/>
      <c r="G123" s="304"/>
      <c r="H123" s="304"/>
      <c r="I123" s="304"/>
      <c r="J123" s="304"/>
      <c r="K123" s="304"/>
      <c r="L123" s="304"/>
      <c r="M123" s="305"/>
    </row>
    <row r="124" spans="1:74" x14ac:dyDescent="0.25">
      <c r="A124" s="92" t="s">
        <v>370</v>
      </c>
      <c r="B124" s="69" t="s">
        <v>560</v>
      </c>
      <c r="C124" s="306" t="s">
        <v>561</v>
      </c>
      <c r="D124" s="307"/>
      <c r="E124" s="69" t="s">
        <v>325</v>
      </c>
      <c r="F124" s="77">
        <v>4</v>
      </c>
      <c r="G124" s="218">
        <v>0</v>
      </c>
      <c r="H124" s="77">
        <f>F124*AM124</f>
        <v>0</v>
      </c>
      <c r="I124" s="77">
        <f>F124*AN124</f>
        <v>0</v>
      </c>
      <c r="J124" s="77">
        <f>F124*G124</f>
        <v>0</v>
      </c>
      <c r="K124" s="77">
        <v>0.11178</v>
      </c>
      <c r="L124" s="77">
        <f>F124*K124</f>
        <v>0.44712000000000002</v>
      </c>
      <c r="M124" s="103" t="s">
        <v>35</v>
      </c>
      <c r="X124" s="77">
        <f>IF(AO124="5",BH124,0)</f>
        <v>0</v>
      </c>
      <c r="Z124" s="77">
        <f>IF(AO124="1",BF124,0)</f>
        <v>0</v>
      </c>
      <c r="AA124" s="77">
        <f>IF(AO124="1",BG124,0)</f>
        <v>0</v>
      </c>
      <c r="AB124" s="77">
        <f>IF(AO124="7",BF124,0)</f>
        <v>0</v>
      </c>
      <c r="AC124" s="77">
        <f>IF(AO124="7",BG124,0)</f>
        <v>0</v>
      </c>
      <c r="AD124" s="77">
        <f>IF(AO124="2",BF124,0)</f>
        <v>0</v>
      </c>
      <c r="AE124" s="77">
        <f>IF(AO124="2",BG124,0)</f>
        <v>0</v>
      </c>
      <c r="AF124" s="77">
        <f>IF(AO124="0",BH124,0)</f>
        <v>0</v>
      </c>
      <c r="AG124" s="71" t="s">
        <v>129</v>
      </c>
      <c r="AH124" s="77">
        <f>IF(AL124=0,J124,0)</f>
        <v>0</v>
      </c>
      <c r="AI124" s="77">
        <f>IF(AL124=15,J124,0)</f>
        <v>0</v>
      </c>
      <c r="AJ124" s="77">
        <f>IF(AL124=21,J124,0)</f>
        <v>0</v>
      </c>
      <c r="AL124" s="77">
        <v>21</v>
      </c>
      <c r="AM124" s="77">
        <f>G124*0.419908016</f>
        <v>0</v>
      </c>
      <c r="AN124" s="77">
        <f>G124*(1-0.419908016)</f>
        <v>0</v>
      </c>
      <c r="AO124" s="79" t="s">
        <v>132</v>
      </c>
      <c r="AT124" s="77">
        <f>AU124+AV124</f>
        <v>0</v>
      </c>
      <c r="AU124" s="77">
        <f>F124*AM124</f>
        <v>0</v>
      </c>
      <c r="AV124" s="77">
        <f>F124*AN124</f>
        <v>0</v>
      </c>
      <c r="AW124" s="79" t="s">
        <v>340</v>
      </c>
      <c r="AX124" s="79" t="s">
        <v>320</v>
      </c>
      <c r="AY124" s="71" t="s">
        <v>137</v>
      </c>
      <c r="BA124" s="77">
        <f>AU124+AV124</f>
        <v>0</v>
      </c>
      <c r="BB124" s="77">
        <f>G124/(100-BC124)*100</f>
        <v>0</v>
      </c>
      <c r="BC124" s="77">
        <v>0</v>
      </c>
      <c r="BD124" s="77">
        <f>L124</f>
        <v>0.44712000000000002</v>
      </c>
      <c r="BF124" s="77">
        <f>F124*AM124</f>
        <v>0</v>
      </c>
      <c r="BG124" s="77">
        <f>F124*AN124</f>
        <v>0</v>
      </c>
      <c r="BH124" s="77">
        <f>F124*G124</f>
        <v>0</v>
      </c>
      <c r="BI124" s="77"/>
      <c r="BJ124" s="77">
        <v>89</v>
      </c>
      <c r="BU124" s="77" t="e">
        <f>#REF!</f>
        <v>#REF!</v>
      </c>
      <c r="BV124" s="70" t="s">
        <v>561</v>
      </c>
    </row>
    <row r="125" spans="1:74" ht="13.5" customHeight="1" x14ac:dyDescent="0.25">
      <c r="A125" s="104"/>
      <c r="B125" s="81" t="s">
        <v>138</v>
      </c>
      <c r="C125" s="303" t="s">
        <v>562</v>
      </c>
      <c r="D125" s="304"/>
      <c r="E125" s="304"/>
      <c r="F125" s="304"/>
      <c r="G125" s="304"/>
      <c r="H125" s="304"/>
      <c r="I125" s="304"/>
      <c r="J125" s="304"/>
      <c r="K125" s="304"/>
      <c r="L125" s="304"/>
      <c r="M125" s="305"/>
    </row>
    <row r="126" spans="1:74" x14ac:dyDescent="0.25">
      <c r="A126" s="92" t="s">
        <v>374</v>
      </c>
      <c r="B126" s="69" t="s">
        <v>563</v>
      </c>
      <c r="C126" s="306" t="s">
        <v>564</v>
      </c>
      <c r="D126" s="307"/>
      <c r="E126" s="69" t="s">
        <v>325</v>
      </c>
      <c r="F126" s="77">
        <v>1</v>
      </c>
      <c r="G126" s="218">
        <v>0</v>
      </c>
      <c r="H126" s="77">
        <f>F126*AM126</f>
        <v>0</v>
      </c>
      <c r="I126" s="77">
        <f>F126*AN126</f>
        <v>0</v>
      </c>
      <c r="J126" s="77">
        <f>F126*G126</f>
        <v>0</v>
      </c>
      <c r="K126" s="77">
        <v>0.32906000000000002</v>
      </c>
      <c r="L126" s="77">
        <f>F126*K126</f>
        <v>0.32906000000000002</v>
      </c>
      <c r="M126" s="103" t="s">
        <v>35</v>
      </c>
      <c r="X126" s="77">
        <f>IF(AO126="5",BH126,0)</f>
        <v>0</v>
      </c>
      <c r="Z126" s="77">
        <f>IF(AO126="1",BF126,0)</f>
        <v>0</v>
      </c>
      <c r="AA126" s="77">
        <f>IF(AO126="1",BG126,0)</f>
        <v>0</v>
      </c>
      <c r="AB126" s="77">
        <f>IF(AO126="7",BF126,0)</f>
        <v>0</v>
      </c>
      <c r="AC126" s="77">
        <f>IF(AO126="7",BG126,0)</f>
        <v>0</v>
      </c>
      <c r="AD126" s="77">
        <f>IF(AO126="2",BF126,0)</f>
        <v>0</v>
      </c>
      <c r="AE126" s="77">
        <f>IF(AO126="2",BG126,0)</f>
        <v>0</v>
      </c>
      <c r="AF126" s="77">
        <f>IF(AO126="0",BH126,0)</f>
        <v>0</v>
      </c>
      <c r="AG126" s="71" t="s">
        <v>129</v>
      </c>
      <c r="AH126" s="77">
        <f>IF(AL126=0,J126,0)</f>
        <v>0</v>
      </c>
      <c r="AI126" s="77">
        <f>IF(AL126=15,J126,0)</f>
        <v>0</v>
      </c>
      <c r="AJ126" s="77">
        <f>IF(AL126=21,J126,0)</f>
        <v>0</v>
      </c>
      <c r="AL126" s="77">
        <v>21</v>
      </c>
      <c r="AM126" s="77">
        <f>G126*0.584709443</f>
        <v>0</v>
      </c>
      <c r="AN126" s="77">
        <f>G126*(1-0.584709443)</f>
        <v>0</v>
      </c>
      <c r="AO126" s="79" t="s">
        <v>132</v>
      </c>
      <c r="AT126" s="77">
        <f>AU126+AV126</f>
        <v>0</v>
      </c>
      <c r="AU126" s="77">
        <f>F126*AM126</f>
        <v>0</v>
      </c>
      <c r="AV126" s="77">
        <f>F126*AN126</f>
        <v>0</v>
      </c>
      <c r="AW126" s="79" t="s">
        <v>340</v>
      </c>
      <c r="AX126" s="79" t="s">
        <v>320</v>
      </c>
      <c r="AY126" s="71" t="s">
        <v>137</v>
      </c>
      <c r="BA126" s="77">
        <f>AU126+AV126</f>
        <v>0</v>
      </c>
      <c r="BB126" s="77">
        <f>G126/(100-BC126)*100</f>
        <v>0</v>
      </c>
      <c r="BC126" s="77">
        <v>0</v>
      </c>
      <c r="BD126" s="77">
        <f>L126</f>
        <v>0.32906000000000002</v>
      </c>
      <c r="BF126" s="77">
        <f>F126*AM126</f>
        <v>0</v>
      </c>
      <c r="BG126" s="77">
        <f>F126*AN126</f>
        <v>0</v>
      </c>
      <c r="BH126" s="77">
        <f>F126*G126</f>
        <v>0</v>
      </c>
      <c r="BI126" s="77"/>
      <c r="BJ126" s="77">
        <v>89</v>
      </c>
      <c r="BU126" s="77" t="e">
        <f>#REF!</f>
        <v>#REF!</v>
      </c>
      <c r="BV126" s="70" t="s">
        <v>564</v>
      </c>
    </row>
    <row r="127" spans="1:74" ht="13.5" customHeight="1" x14ac:dyDescent="0.25">
      <c r="A127" s="104"/>
      <c r="B127" s="81" t="s">
        <v>138</v>
      </c>
      <c r="C127" s="303" t="s">
        <v>562</v>
      </c>
      <c r="D127" s="304"/>
      <c r="E127" s="304"/>
      <c r="F127" s="304"/>
      <c r="G127" s="304"/>
      <c r="H127" s="304"/>
      <c r="I127" s="304"/>
      <c r="J127" s="304"/>
      <c r="K127" s="304"/>
      <c r="L127" s="304"/>
      <c r="M127" s="305"/>
    </row>
    <row r="128" spans="1:74" x14ac:dyDescent="0.25">
      <c r="A128" s="92" t="s">
        <v>380</v>
      </c>
      <c r="B128" s="69" t="s">
        <v>565</v>
      </c>
      <c r="C128" s="306" t="s">
        <v>566</v>
      </c>
      <c r="D128" s="307"/>
      <c r="E128" s="69" t="s">
        <v>325</v>
      </c>
      <c r="F128" s="77">
        <v>1</v>
      </c>
      <c r="G128" s="218">
        <v>0</v>
      </c>
      <c r="H128" s="77">
        <f>F128*AM128</f>
        <v>0</v>
      </c>
      <c r="I128" s="77">
        <f>F128*AN128</f>
        <v>0</v>
      </c>
      <c r="J128" s="77">
        <f>F128*G128</f>
        <v>0</v>
      </c>
      <c r="K128" s="77">
        <v>1.1E-4</v>
      </c>
      <c r="L128" s="77">
        <f>F128*K128</f>
        <v>1.1E-4</v>
      </c>
      <c r="M128" s="103" t="s">
        <v>35</v>
      </c>
      <c r="X128" s="77">
        <f>IF(AO128="5",BH128,0)</f>
        <v>0</v>
      </c>
      <c r="Z128" s="77">
        <f>IF(AO128="1",BF128,0)</f>
        <v>0</v>
      </c>
      <c r="AA128" s="77">
        <f>IF(AO128="1",BG128,0)</f>
        <v>0</v>
      </c>
      <c r="AB128" s="77">
        <f>IF(AO128="7",BF128,0)</f>
        <v>0</v>
      </c>
      <c r="AC128" s="77">
        <f>IF(AO128="7",BG128,0)</f>
        <v>0</v>
      </c>
      <c r="AD128" s="77">
        <f>IF(AO128="2",BF128,0)</f>
        <v>0</v>
      </c>
      <c r="AE128" s="77">
        <f>IF(AO128="2",BG128,0)</f>
        <v>0</v>
      </c>
      <c r="AF128" s="77">
        <f>IF(AO128="0",BH128,0)</f>
        <v>0</v>
      </c>
      <c r="AG128" s="71" t="s">
        <v>129</v>
      </c>
      <c r="AH128" s="77">
        <f>IF(AL128=0,J128,0)</f>
        <v>0</v>
      </c>
      <c r="AI128" s="77">
        <f>IF(AL128=15,J128,0)</f>
        <v>0</v>
      </c>
      <c r="AJ128" s="77">
        <f>IF(AL128=21,J128,0)</f>
        <v>0</v>
      </c>
      <c r="AL128" s="77">
        <v>21</v>
      </c>
      <c r="AM128" s="77">
        <f>G128*0.098211009</f>
        <v>0</v>
      </c>
      <c r="AN128" s="77">
        <f>G128*(1-0.098211009)</f>
        <v>0</v>
      </c>
      <c r="AO128" s="79" t="s">
        <v>132</v>
      </c>
      <c r="AT128" s="77">
        <f>AU128+AV128</f>
        <v>0</v>
      </c>
      <c r="AU128" s="77">
        <f>F128*AM128</f>
        <v>0</v>
      </c>
      <c r="AV128" s="77">
        <f>F128*AN128</f>
        <v>0</v>
      </c>
      <c r="AW128" s="79" t="s">
        <v>340</v>
      </c>
      <c r="AX128" s="79" t="s">
        <v>320</v>
      </c>
      <c r="AY128" s="71" t="s">
        <v>137</v>
      </c>
      <c r="BA128" s="77">
        <f>AU128+AV128</f>
        <v>0</v>
      </c>
      <c r="BB128" s="77">
        <f>G128/(100-BC128)*100</f>
        <v>0</v>
      </c>
      <c r="BC128" s="77">
        <v>0</v>
      </c>
      <c r="BD128" s="77">
        <f>L128</f>
        <v>1.1E-4</v>
      </c>
      <c r="BF128" s="77">
        <f>F128*AM128</f>
        <v>0</v>
      </c>
      <c r="BG128" s="77">
        <f>F128*AN128</f>
        <v>0</v>
      </c>
      <c r="BH128" s="77">
        <f>F128*G128</f>
        <v>0</v>
      </c>
      <c r="BI128" s="77"/>
      <c r="BJ128" s="77">
        <v>89</v>
      </c>
      <c r="BU128" s="77" t="e">
        <f>#REF!</f>
        <v>#REF!</v>
      </c>
      <c r="BV128" s="70" t="s">
        <v>566</v>
      </c>
    </row>
    <row r="129" spans="1:74" ht="13.5" customHeight="1" x14ac:dyDescent="0.25">
      <c r="A129" s="104"/>
      <c r="B129" s="81" t="s">
        <v>138</v>
      </c>
      <c r="C129" s="303" t="s">
        <v>567</v>
      </c>
      <c r="D129" s="304"/>
      <c r="E129" s="304"/>
      <c r="F129" s="304"/>
      <c r="G129" s="304"/>
      <c r="H129" s="304"/>
      <c r="I129" s="304"/>
      <c r="J129" s="304"/>
      <c r="K129" s="304"/>
      <c r="L129" s="304"/>
      <c r="M129" s="305"/>
    </row>
    <row r="130" spans="1:74" x14ac:dyDescent="0.25">
      <c r="A130" s="92" t="s">
        <v>388</v>
      </c>
      <c r="B130" s="69" t="s">
        <v>568</v>
      </c>
      <c r="C130" s="306" t="s">
        <v>569</v>
      </c>
      <c r="D130" s="307"/>
      <c r="E130" s="69" t="s">
        <v>325</v>
      </c>
      <c r="F130" s="77">
        <v>4</v>
      </c>
      <c r="G130" s="218">
        <v>0</v>
      </c>
      <c r="H130" s="77">
        <f>F130*AM130</f>
        <v>0</v>
      </c>
      <c r="I130" s="77">
        <f>F130*AN130</f>
        <v>0</v>
      </c>
      <c r="J130" s="77">
        <f>F130*G130</f>
        <v>0</v>
      </c>
      <c r="K130" s="77">
        <v>0</v>
      </c>
      <c r="L130" s="77">
        <f>F130*K130</f>
        <v>0</v>
      </c>
      <c r="M130" s="103" t="s">
        <v>35</v>
      </c>
      <c r="X130" s="77">
        <f>IF(AO130="5",BH130,0)</f>
        <v>0</v>
      </c>
      <c r="Z130" s="77">
        <f>IF(AO130="1",BF130,0)</f>
        <v>0</v>
      </c>
      <c r="AA130" s="77">
        <f>IF(AO130="1",BG130,0)</f>
        <v>0</v>
      </c>
      <c r="AB130" s="77">
        <f>IF(AO130="7",BF130,0)</f>
        <v>0</v>
      </c>
      <c r="AC130" s="77">
        <f>IF(AO130="7",BG130,0)</f>
        <v>0</v>
      </c>
      <c r="AD130" s="77">
        <f>IF(AO130="2",BF130,0)</f>
        <v>0</v>
      </c>
      <c r="AE130" s="77">
        <f>IF(AO130="2",BG130,0)</f>
        <v>0</v>
      </c>
      <c r="AF130" s="77">
        <f>IF(AO130="0",BH130,0)</f>
        <v>0</v>
      </c>
      <c r="AG130" s="71" t="s">
        <v>129</v>
      </c>
      <c r="AH130" s="77">
        <f>IF(AL130=0,J130,0)</f>
        <v>0</v>
      </c>
      <c r="AI130" s="77">
        <f>IF(AL130=15,J130,0)</f>
        <v>0</v>
      </c>
      <c r="AJ130" s="77">
        <f>IF(AL130=21,J130,0)</f>
        <v>0</v>
      </c>
      <c r="AL130" s="77">
        <v>21</v>
      </c>
      <c r="AM130" s="77">
        <f>G130*0</f>
        <v>0</v>
      </c>
      <c r="AN130" s="77">
        <f>G130*(1-0)</f>
        <v>0</v>
      </c>
      <c r="AO130" s="79" t="s">
        <v>132</v>
      </c>
      <c r="AT130" s="77">
        <f>AU130+AV130</f>
        <v>0</v>
      </c>
      <c r="AU130" s="77">
        <f>F130*AM130</f>
        <v>0</v>
      </c>
      <c r="AV130" s="77">
        <f>F130*AN130</f>
        <v>0</v>
      </c>
      <c r="AW130" s="79" t="s">
        <v>340</v>
      </c>
      <c r="AX130" s="79" t="s">
        <v>320</v>
      </c>
      <c r="AY130" s="71" t="s">
        <v>137</v>
      </c>
      <c r="BA130" s="77">
        <f>AU130+AV130</f>
        <v>0</v>
      </c>
      <c r="BB130" s="77">
        <f>G130/(100-BC130)*100</f>
        <v>0</v>
      </c>
      <c r="BC130" s="77">
        <v>0</v>
      </c>
      <c r="BD130" s="77">
        <f>L130</f>
        <v>0</v>
      </c>
      <c r="BF130" s="77">
        <f>F130*AM130</f>
        <v>0</v>
      </c>
      <c r="BG130" s="77">
        <f>F130*AN130</f>
        <v>0</v>
      </c>
      <c r="BH130" s="77">
        <f>F130*G130</f>
        <v>0</v>
      </c>
      <c r="BI130" s="77"/>
      <c r="BJ130" s="77">
        <v>89</v>
      </c>
      <c r="BU130" s="77" t="e">
        <f>#REF!</f>
        <v>#REF!</v>
      </c>
      <c r="BV130" s="70" t="s">
        <v>569</v>
      </c>
    </row>
    <row r="131" spans="1:74" ht="13.5" customHeight="1" x14ac:dyDescent="0.25">
      <c r="A131" s="104"/>
      <c r="B131" s="81" t="s">
        <v>138</v>
      </c>
      <c r="C131" s="303" t="s">
        <v>570</v>
      </c>
      <c r="D131" s="304"/>
      <c r="E131" s="304"/>
      <c r="F131" s="304"/>
      <c r="G131" s="304"/>
      <c r="H131" s="304"/>
      <c r="I131" s="304"/>
      <c r="J131" s="304"/>
      <c r="K131" s="304"/>
      <c r="L131" s="304"/>
      <c r="M131" s="305"/>
    </row>
    <row r="132" spans="1:74" x14ac:dyDescent="0.25">
      <c r="A132" s="92" t="s">
        <v>392</v>
      </c>
      <c r="B132" s="69" t="s">
        <v>571</v>
      </c>
      <c r="C132" s="306" t="s">
        <v>572</v>
      </c>
      <c r="D132" s="307"/>
      <c r="E132" s="69" t="s">
        <v>325</v>
      </c>
      <c r="F132" s="77">
        <v>2</v>
      </c>
      <c r="G132" s="218">
        <v>0</v>
      </c>
      <c r="H132" s="77">
        <f>F132*AM132</f>
        <v>0</v>
      </c>
      <c r="I132" s="77">
        <f>F132*AN132</f>
        <v>0</v>
      </c>
      <c r="J132" s="77">
        <f>F132*G132</f>
        <v>0</v>
      </c>
      <c r="K132" s="77">
        <v>0</v>
      </c>
      <c r="L132" s="77">
        <f>F132*K132</f>
        <v>0</v>
      </c>
      <c r="M132" s="103" t="s">
        <v>35</v>
      </c>
      <c r="X132" s="77">
        <f>IF(AO132="5",BH132,0)</f>
        <v>0</v>
      </c>
      <c r="Z132" s="77">
        <f>IF(AO132="1",BF132,0)</f>
        <v>0</v>
      </c>
      <c r="AA132" s="77">
        <f>IF(AO132="1",BG132,0)</f>
        <v>0</v>
      </c>
      <c r="AB132" s="77">
        <f>IF(AO132="7",BF132,0)</f>
        <v>0</v>
      </c>
      <c r="AC132" s="77">
        <f>IF(AO132="7",BG132,0)</f>
        <v>0</v>
      </c>
      <c r="AD132" s="77">
        <f>IF(AO132="2",BF132,0)</f>
        <v>0</v>
      </c>
      <c r="AE132" s="77">
        <f>IF(AO132="2",BG132,0)</f>
        <v>0</v>
      </c>
      <c r="AF132" s="77">
        <f>IF(AO132="0",BH132,0)</f>
        <v>0</v>
      </c>
      <c r="AG132" s="71" t="s">
        <v>129</v>
      </c>
      <c r="AH132" s="77">
        <f>IF(AL132=0,J132,0)</f>
        <v>0</v>
      </c>
      <c r="AI132" s="77">
        <f>IF(AL132=15,J132,0)</f>
        <v>0</v>
      </c>
      <c r="AJ132" s="77">
        <f>IF(AL132=21,J132,0)</f>
        <v>0</v>
      </c>
      <c r="AL132" s="77">
        <v>21</v>
      </c>
      <c r="AM132" s="77">
        <f>G132*0</f>
        <v>0</v>
      </c>
      <c r="AN132" s="77">
        <f>G132*(1-0)</f>
        <v>0</v>
      </c>
      <c r="AO132" s="79" t="s">
        <v>132</v>
      </c>
      <c r="AT132" s="77">
        <f>AU132+AV132</f>
        <v>0</v>
      </c>
      <c r="AU132" s="77">
        <f>F132*AM132</f>
        <v>0</v>
      </c>
      <c r="AV132" s="77">
        <f>F132*AN132</f>
        <v>0</v>
      </c>
      <c r="AW132" s="79" t="s">
        <v>340</v>
      </c>
      <c r="AX132" s="79" t="s">
        <v>320</v>
      </c>
      <c r="AY132" s="71" t="s">
        <v>137</v>
      </c>
      <c r="BA132" s="77">
        <f>AU132+AV132</f>
        <v>0</v>
      </c>
      <c r="BB132" s="77">
        <f>G132/(100-BC132)*100</f>
        <v>0</v>
      </c>
      <c r="BC132" s="77">
        <v>0</v>
      </c>
      <c r="BD132" s="77">
        <f>L132</f>
        <v>0</v>
      </c>
      <c r="BF132" s="77">
        <f>F132*AM132</f>
        <v>0</v>
      </c>
      <c r="BG132" s="77">
        <f>F132*AN132</f>
        <v>0</v>
      </c>
      <c r="BH132" s="77">
        <f>F132*G132</f>
        <v>0</v>
      </c>
      <c r="BI132" s="77"/>
      <c r="BJ132" s="77">
        <v>89</v>
      </c>
      <c r="BU132" s="77" t="e">
        <f>#REF!</f>
        <v>#REF!</v>
      </c>
      <c r="BV132" s="70" t="s">
        <v>572</v>
      </c>
    </row>
    <row r="133" spans="1:74" ht="54" customHeight="1" x14ac:dyDescent="0.25">
      <c r="A133" s="104"/>
      <c r="B133" s="81" t="s">
        <v>138</v>
      </c>
      <c r="C133" s="303" t="s">
        <v>573</v>
      </c>
      <c r="D133" s="304"/>
      <c r="E133" s="304"/>
      <c r="F133" s="304"/>
      <c r="G133" s="304"/>
      <c r="H133" s="304"/>
      <c r="I133" s="304"/>
      <c r="J133" s="304"/>
      <c r="K133" s="304"/>
      <c r="L133" s="304"/>
      <c r="M133" s="305"/>
    </row>
    <row r="134" spans="1:74" x14ac:dyDescent="0.25">
      <c r="A134" s="92" t="s">
        <v>396</v>
      </c>
      <c r="B134" s="69" t="s">
        <v>574</v>
      </c>
      <c r="C134" s="306" t="s">
        <v>575</v>
      </c>
      <c r="D134" s="307"/>
      <c r="E134" s="69" t="s">
        <v>325</v>
      </c>
      <c r="F134" s="77">
        <v>2</v>
      </c>
      <c r="G134" s="218">
        <v>0</v>
      </c>
      <c r="H134" s="77">
        <f>F134*AM134</f>
        <v>0</v>
      </c>
      <c r="I134" s="77">
        <f>F134*AN134</f>
        <v>0</v>
      </c>
      <c r="J134" s="77">
        <f>F134*G134</f>
        <v>0</v>
      </c>
      <c r="K134" s="77">
        <v>0.12303</v>
      </c>
      <c r="L134" s="77">
        <f>F134*K134</f>
        <v>0.24606</v>
      </c>
      <c r="M134" s="103" t="s">
        <v>35</v>
      </c>
      <c r="X134" s="77">
        <f>IF(AO134="5",BH134,0)</f>
        <v>0</v>
      </c>
      <c r="Z134" s="77">
        <f>IF(AO134="1",BF134,0)</f>
        <v>0</v>
      </c>
      <c r="AA134" s="77">
        <f>IF(AO134="1",BG134,0)</f>
        <v>0</v>
      </c>
      <c r="AB134" s="77">
        <f>IF(AO134="7",BF134,0)</f>
        <v>0</v>
      </c>
      <c r="AC134" s="77">
        <f>IF(AO134="7",BG134,0)</f>
        <v>0</v>
      </c>
      <c r="AD134" s="77">
        <f>IF(AO134="2",BF134,0)</f>
        <v>0</v>
      </c>
      <c r="AE134" s="77">
        <f>IF(AO134="2",BG134,0)</f>
        <v>0</v>
      </c>
      <c r="AF134" s="77">
        <f>IF(AO134="0",BH134,0)</f>
        <v>0</v>
      </c>
      <c r="AG134" s="71" t="s">
        <v>129</v>
      </c>
      <c r="AH134" s="77">
        <f>IF(AL134=0,J134,0)</f>
        <v>0</v>
      </c>
      <c r="AI134" s="77">
        <f>IF(AL134=15,J134,0)</f>
        <v>0</v>
      </c>
      <c r="AJ134" s="77">
        <f>IF(AL134=21,J134,0)</f>
        <v>0</v>
      </c>
      <c r="AL134" s="77">
        <v>21</v>
      </c>
      <c r="AM134" s="77">
        <f>G134*0.419908016</f>
        <v>0</v>
      </c>
      <c r="AN134" s="77">
        <f>G134*(1-0.419908016)</f>
        <v>0</v>
      </c>
      <c r="AO134" s="79" t="s">
        <v>132</v>
      </c>
      <c r="AT134" s="77">
        <f>AU134+AV134</f>
        <v>0</v>
      </c>
      <c r="AU134" s="77">
        <f>F134*AM134</f>
        <v>0</v>
      </c>
      <c r="AV134" s="77">
        <f>F134*AN134</f>
        <v>0</v>
      </c>
      <c r="AW134" s="79" t="s">
        <v>340</v>
      </c>
      <c r="AX134" s="79" t="s">
        <v>320</v>
      </c>
      <c r="AY134" s="71" t="s">
        <v>137</v>
      </c>
      <c r="BA134" s="77">
        <f>AU134+AV134</f>
        <v>0</v>
      </c>
      <c r="BB134" s="77">
        <f>G134/(100-BC134)*100</f>
        <v>0</v>
      </c>
      <c r="BC134" s="77">
        <v>0</v>
      </c>
      <c r="BD134" s="77">
        <f>L134</f>
        <v>0.24606</v>
      </c>
      <c r="BF134" s="77">
        <f>F134*AM134</f>
        <v>0</v>
      </c>
      <c r="BG134" s="77">
        <f>F134*AN134</f>
        <v>0</v>
      </c>
      <c r="BH134" s="77">
        <f>F134*G134</f>
        <v>0</v>
      </c>
      <c r="BI134" s="77"/>
      <c r="BJ134" s="77">
        <v>89</v>
      </c>
      <c r="BU134" s="77" t="e">
        <f>#REF!</f>
        <v>#REF!</v>
      </c>
      <c r="BV134" s="70" t="s">
        <v>575</v>
      </c>
    </row>
    <row r="135" spans="1:74" ht="40.5" customHeight="1" x14ac:dyDescent="0.25">
      <c r="A135" s="104"/>
      <c r="B135" s="81" t="s">
        <v>138</v>
      </c>
      <c r="C135" s="303" t="s">
        <v>576</v>
      </c>
      <c r="D135" s="304"/>
      <c r="E135" s="304"/>
      <c r="F135" s="304"/>
      <c r="G135" s="304"/>
      <c r="H135" s="304"/>
      <c r="I135" s="304"/>
      <c r="J135" s="304"/>
      <c r="K135" s="304"/>
      <c r="L135" s="304"/>
      <c r="M135" s="305"/>
    </row>
    <row r="136" spans="1:74" ht="15.75" thickBot="1" x14ac:dyDescent="0.3">
      <c r="A136" s="93" t="s">
        <v>296</v>
      </c>
      <c r="B136" s="94" t="s">
        <v>577</v>
      </c>
      <c r="C136" s="316" t="s">
        <v>578</v>
      </c>
      <c r="D136" s="317"/>
      <c r="E136" s="94" t="s">
        <v>325</v>
      </c>
      <c r="F136" s="125">
        <v>4</v>
      </c>
      <c r="G136" s="220">
        <v>0</v>
      </c>
      <c r="H136" s="125">
        <f>F136*AM136</f>
        <v>0</v>
      </c>
      <c r="I136" s="125">
        <f>F136*AN136</f>
        <v>0</v>
      </c>
      <c r="J136" s="125">
        <f>F136*G136</f>
        <v>0</v>
      </c>
      <c r="K136" s="125">
        <v>0</v>
      </c>
      <c r="L136" s="125">
        <f>F136*K136</f>
        <v>0</v>
      </c>
      <c r="M136" s="126" t="s">
        <v>35</v>
      </c>
      <c r="X136" s="77">
        <f>IF(AO136="5",BH136,0)</f>
        <v>0</v>
      </c>
      <c r="Z136" s="77">
        <f>IF(AO136="1",BF136,0)</f>
        <v>0</v>
      </c>
      <c r="AA136" s="77">
        <f>IF(AO136="1",BG136,0)</f>
        <v>0</v>
      </c>
      <c r="AB136" s="77">
        <f>IF(AO136="7",BF136,0)</f>
        <v>0</v>
      </c>
      <c r="AC136" s="77">
        <f>IF(AO136="7",BG136,0)</f>
        <v>0</v>
      </c>
      <c r="AD136" s="77">
        <f>IF(AO136="2",BF136,0)</f>
        <v>0</v>
      </c>
      <c r="AE136" s="77">
        <f>IF(AO136="2",BG136,0)</f>
        <v>0</v>
      </c>
      <c r="AF136" s="77">
        <f>IF(AO136="0",BH136,0)</f>
        <v>0</v>
      </c>
      <c r="AG136" s="71" t="s">
        <v>129</v>
      </c>
      <c r="AH136" s="77">
        <f>IF(AL136=0,J136,0)</f>
        <v>0</v>
      </c>
      <c r="AI136" s="77">
        <f>IF(AL136=15,J136,0)</f>
        <v>0</v>
      </c>
      <c r="AJ136" s="77">
        <f>IF(AL136=21,J136,0)</f>
        <v>0</v>
      </c>
      <c r="AL136" s="77">
        <v>21</v>
      </c>
      <c r="AM136" s="77">
        <f>G136*0.148633567</f>
        <v>0</v>
      </c>
      <c r="AN136" s="77">
        <f>G136*(1-0.148633567)</f>
        <v>0</v>
      </c>
      <c r="AO136" s="79" t="s">
        <v>132</v>
      </c>
      <c r="AT136" s="77">
        <f>AU136+AV136</f>
        <v>0</v>
      </c>
      <c r="AU136" s="77">
        <f>F136*AM136</f>
        <v>0</v>
      </c>
      <c r="AV136" s="77">
        <f>F136*AN136</f>
        <v>0</v>
      </c>
      <c r="AW136" s="79" t="s">
        <v>340</v>
      </c>
      <c r="AX136" s="79" t="s">
        <v>320</v>
      </c>
      <c r="AY136" s="71" t="s">
        <v>137</v>
      </c>
      <c r="BA136" s="77">
        <f>AU136+AV136</f>
        <v>0</v>
      </c>
      <c r="BB136" s="77">
        <f>G136/(100-BC136)*100</f>
        <v>0</v>
      </c>
      <c r="BC136" s="77">
        <v>0</v>
      </c>
      <c r="BD136" s="77">
        <f>L136</f>
        <v>0</v>
      </c>
      <c r="BF136" s="77">
        <f>F136*AM136</f>
        <v>0</v>
      </c>
      <c r="BG136" s="77">
        <f>F136*AN136</f>
        <v>0</v>
      </c>
      <c r="BH136" s="77">
        <f>F136*G136</f>
        <v>0</v>
      </c>
      <c r="BI136" s="77"/>
      <c r="BJ136" s="77">
        <v>89</v>
      </c>
      <c r="BU136" s="77" t="e">
        <f>#REF!</f>
        <v>#REF!</v>
      </c>
      <c r="BV136" s="70" t="s">
        <v>578</v>
      </c>
    </row>
    <row r="137" spans="1:74" x14ac:dyDescent="0.25">
      <c r="A137" s="105" t="s">
        <v>129</v>
      </c>
      <c r="B137" s="74" t="s">
        <v>378</v>
      </c>
      <c r="C137" s="314" t="s">
        <v>379</v>
      </c>
      <c r="D137" s="315"/>
      <c r="E137" s="75" t="s">
        <v>87</v>
      </c>
      <c r="F137" s="75" t="s">
        <v>87</v>
      </c>
      <c r="G137" s="75" t="s">
        <v>87</v>
      </c>
      <c r="H137" s="67">
        <f>SUM(H138:H138)</f>
        <v>0</v>
      </c>
      <c r="I137" s="67">
        <f>SUM(I138:I138)</f>
        <v>0</v>
      </c>
      <c r="J137" s="67">
        <f>SUM(J138:J138)</f>
        <v>0</v>
      </c>
      <c r="K137" s="71" t="s">
        <v>129</v>
      </c>
      <c r="L137" s="67">
        <f>SUM(L138:L138)</f>
        <v>0</v>
      </c>
      <c r="M137" s="106" t="s">
        <v>129</v>
      </c>
      <c r="AG137" s="71" t="s">
        <v>129</v>
      </c>
      <c r="AQ137" s="67">
        <f>SUM(AH138:AH138)</f>
        <v>0</v>
      </c>
      <c r="AR137" s="67">
        <f>SUM(AI138:AI138)</f>
        <v>0</v>
      </c>
      <c r="AS137" s="67">
        <f>SUM(AJ138:AJ138)</f>
        <v>0</v>
      </c>
    </row>
    <row r="138" spans="1:74" x14ac:dyDescent="0.25">
      <c r="A138" s="92" t="s">
        <v>403</v>
      </c>
      <c r="B138" s="69" t="s">
        <v>381</v>
      </c>
      <c r="C138" s="306" t="s">
        <v>382</v>
      </c>
      <c r="D138" s="307"/>
      <c r="E138" s="69" t="s">
        <v>281</v>
      </c>
      <c r="F138" s="77">
        <v>128.41</v>
      </c>
      <c r="G138" s="218">
        <v>0</v>
      </c>
      <c r="H138" s="77">
        <f>F138*AM138</f>
        <v>0</v>
      </c>
      <c r="I138" s="77">
        <f>F138*AN138</f>
        <v>0</v>
      </c>
      <c r="J138" s="77">
        <f>F138*G138</f>
        <v>0</v>
      </c>
      <c r="K138" s="77">
        <v>0</v>
      </c>
      <c r="L138" s="77">
        <f>F138*K138</f>
        <v>0</v>
      </c>
      <c r="M138" s="103" t="s">
        <v>35</v>
      </c>
      <c r="X138" s="77">
        <f>IF(AO138="5",BH138,0)</f>
        <v>0</v>
      </c>
      <c r="Z138" s="77">
        <f>IF(AO138="1",BF138,0)</f>
        <v>0</v>
      </c>
      <c r="AA138" s="77">
        <f>IF(AO138="1",BG138,0)</f>
        <v>0</v>
      </c>
      <c r="AB138" s="77">
        <f>IF(AO138="7",BF138,0)</f>
        <v>0</v>
      </c>
      <c r="AC138" s="77">
        <f>IF(AO138="7",BG138,0)</f>
        <v>0</v>
      </c>
      <c r="AD138" s="77">
        <f>IF(AO138="2",BF138,0)</f>
        <v>0</v>
      </c>
      <c r="AE138" s="77">
        <f>IF(AO138="2",BG138,0)</f>
        <v>0</v>
      </c>
      <c r="AF138" s="77">
        <f>IF(AO138="0",BH138,0)</f>
        <v>0</v>
      </c>
      <c r="AG138" s="71" t="s">
        <v>129</v>
      </c>
      <c r="AH138" s="77">
        <f>IF(AL138=0,J138,0)</f>
        <v>0</v>
      </c>
      <c r="AI138" s="77">
        <f>IF(AL138=15,J138,0)</f>
        <v>0</v>
      </c>
      <c r="AJ138" s="77">
        <f>IF(AL138=21,J138,0)</f>
        <v>0</v>
      </c>
      <c r="AL138" s="77">
        <v>21</v>
      </c>
      <c r="AM138" s="77">
        <f>G138*0</f>
        <v>0</v>
      </c>
      <c r="AN138" s="77">
        <f>G138*(1-0)</f>
        <v>0</v>
      </c>
      <c r="AO138" s="79" t="s">
        <v>132</v>
      </c>
      <c r="AT138" s="77">
        <f>AU138+AV138</f>
        <v>0</v>
      </c>
      <c r="AU138" s="77">
        <f>F138*AM138</f>
        <v>0</v>
      </c>
      <c r="AV138" s="77">
        <f>F138*AN138</f>
        <v>0</v>
      </c>
      <c r="AW138" s="79" t="s">
        <v>383</v>
      </c>
      <c r="AX138" s="79" t="s">
        <v>384</v>
      </c>
      <c r="AY138" s="71" t="s">
        <v>137</v>
      </c>
      <c r="BA138" s="77">
        <f>AU138+AV138</f>
        <v>0</v>
      </c>
      <c r="BB138" s="77">
        <f>G138/(100-BC138)*100</f>
        <v>0</v>
      </c>
      <c r="BC138" s="77">
        <v>0</v>
      </c>
      <c r="BD138" s="77">
        <f>L138</f>
        <v>0</v>
      </c>
      <c r="BF138" s="77">
        <f>F138*AM138</f>
        <v>0</v>
      </c>
      <c r="BG138" s="77">
        <f>F138*AN138</f>
        <v>0</v>
      </c>
      <c r="BH138" s="77">
        <f>F138*G138</f>
        <v>0</v>
      </c>
      <c r="BI138" s="77"/>
      <c r="BJ138" s="77">
        <v>97</v>
      </c>
      <c r="BU138" s="77" t="e">
        <f>#REF!</f>
        <v>#REF!</v>
      </c>
      <c r="BV138" s="70" t="s">
        <v>382</v>
      </c>
    </row>
    <row r="139" spans="1:74" ht="27" customHeight="1" x14ac:dyDescent="0.25">
      <c r="A139" s="104"/>
      <c r="B139" s="81" t="s">
        <v>138</v>
      </c>
      <c r="C139" s="303" t="s">
        <v>579</v>
      </c>
      <c r="D139" s="304"/>
      <c r="E139" s="304"/>
      <c r="F139" s="304"/>
      <c r="G139" s="304"/>
      <c r="H139" s="304"/>
      <c r="I139" s="304"/>
      <c r="J139" s="304"/>
      <c r="K139" s="304"/>
      <c r="L139" s="304"/>
      <c r="M139" s="305"/>
    </row>
    <row r="140" spans="1:74" x14ac:dyDescent="0.25">
      <c r="A140" s="105" t="s">
        <v>129</v>
      </c>
      <c r="B140" s="74" t="s">
        <v>386</v>
      </c>
      <c r="C140" s="314" t="s">
        <v>387</v>
      </c>
      <c r="D140" s="315"/>
      <c r="E140" s="75" t="s">
        <v>87</v>
      </c>
      <c r="F140" s="75" t="s">
        <v>87</v>
      </c>
      <c r="G140" s="75" t="s">
        <v>87</v>
      </c>
      <c r="H140" s="67">
        <f>SUM(H141:H146)</f>
        <v>0</v>
      </c>
      <c r="I140" s="67">
        <f>SUM(I141:I146)</f>
        <v>0</v>
      </c>
      <c r="J140" s="67">
        <f>SUM(J141:J146)</f>
        <v>0</v>
      </c>
      <c r="K140" s="71" t="s">
        <v>129</v>
      </c>
      <c r="L140" s="67">
        <f>SUM(L141:L146)</f>
        <v>0</v>
      </c>
      <c r="M140" s="106" t="s">
        <v>129</v>
      </c>
      <c r="AG140" s="71" t="s">
        <v>129</v>
      </c>
      <c r="AQ140" s="67">
        <f>SUM(AH141:AH146)</f>
        <v>0</v>
      </c>
      <c r="AR140" s="67">
        <f>SUM(AI141:AI146)</f>
        <v>0</v>
      </c>
      <c r="AS140" s="67">
        <f>SUM(AJ141:AJ146)</f>
        <v>0</v>
      </c>
    </row>
    <row r="141" spans="1:74" x14ac:dyDescent="0.25">
      <c r="A141" s="92" t="s">
        <v>407</v>
      </c>
      <c r="B141" s="69" t="s">
        <v>389</v>
      </c>
      <c r="C141" s="306" t="s">
        <v>390</v>
      </c>
      <c r="D141" s="307"/>
      <c r="E141" s="69" t="s">
        <v>281</v>
      </c>
      <c r="F141" s="77">
        <v>171.21</v>
      </c>
      <c r="G141" s="218">
        <v>0</v>
      </c>
      <c r="H141" s="77">
        <f>F141*AM141</f>
        <v>0</v>
      </c>
      <c r="I141" s="77">
        <f>F141*AN141</f>
        <v>0</v>
      </c>
      <c r="J141" s="77">
        <f>F141*G141</f>
        <v>0</v>
      </c>
      <c r="K141" s="77">
        <v>0</v>
      </c>
      <c r="L141" s="77">
        <f>F141*K141</f>
        <v>0</v>
      </c>
      <c r="M141" s="103" t="s">
        <v>35</v>
      </c>
      <c r="X141" s="77">
        <f>IF(AO141="5",BH141,0)</f>
        <v>0</v>
      </c>
      <c r="Z141" s="77">
        <f>IF(AO141="1",BF141,0)</f>
        <v>0</v>
      </c>
      <c r="AA141" s="77">
        <f>IF(AO141="1",BG141,0)</f>
        <v>0</v>
      </c>
      <c r="AB141" s="77">
        <f>IF(AO141="7",BF141,0)</f>
        <v>0</v>
      </c>
      <c r="AC141" s="77">
        <f>IF(AO141="7",BG141,0)</f>
        <v>0</v>
      </c>
      <c r="AD141" s="77">
        <f>IF(AO141="2",BF141,0)</f>
        <v>0</v>
      </c>
      <c r="AE141" s="77">
        <f>IF(AO141="2",BG141,0)</f>
        <v>0</v>
      </c>
      <c r="AF141" s="77">
        <f>IF(AO141="0",BH141,0)</f>
        <v>0</v>
      </c>
      <c r="AG141" s="71" t="s">
        <v>129</v>
      </c>
      <c r="AH141" s="77">
        <f>IF(AL141=0,J141,0)</f>
        <v>0</v>
      </c>
      <c r="AI141" s="77">
        <f>IF(AL141=15,J141,0)</f>
        <v>0</v>
      </c>
      <c r="AJ141" s="77">
        <f>IF(AL141=21,J141,0)</f>
        <v>0</v>
      </c>
      <c r="AL141" s="77">
        <v>21</v>
      </c>
      <c r="AM141" s="77">
        <f>G141*0</f>
        <v>0</v>
      </c>
      <c r="AN141" s="77">
        <f>G141*(1-0)</f>
        <v>0</v>
      </c>
      <c r="AO141" s="79" t="s">
        <v>158</v>
      </c>
      <c r="AT141" s="77">
        <f>AU141+AV141</f>
        <v>0</v>
      </c>
      <c r="AU141" s="77">
        <f>F141*AM141</f>
        <v>0</v>
      </c>
      <c r="AV141" s="77">
        <f>F141*AN141</f>
        <v>0</v>
      </c>
      <c r="AW141" s="79" t="s">
        <v>391</v>
      </c>
      <c r="AX141" s="79" t="s">
        <v>384</v>
      </c>
      <c r="AY141" s="71" t="s">
        <v>137</v>
      </c>
      <c r="BA141" s="77">
        <f>AU141+AV141</f>
        <v>0</v>
      </c>
      <c r="BB141" s="77">
        <f>G141/(100-BC141)*100</f>
        <v>0</v>
      </c>
      <c r="BC141" s="77">
        <v>0</v>
      </c>
      <c r="BD141" s="77">
        <f>L141</f>
        <v>0</v>
      </c>
      <c r="BF141" s="77">
        <f>F141*AM141</f>
        <v>0</v>
      </c>
      <c r="BG141" s="77">
        <f>F141*AN141</f>
        <v>0</v>
      </c>
      <c r="BH141" s="77">
        <f>F141*G141</f>
        <v>0</v>
      </c>
      <c r="BI141" s="77"/>
      <c r="BJ141" s="77"/>
      <c r="BU141" s="77" t="e">
        <f>#REF!</f>
        <v>#REF!</v>
      </c>
      <c r="BV141" s="70" t="s">
        <v>390</v>
      </c>
    </row>
    <row r="142" spans="1:74" x14ac:dyDescent="0.25">
      <c r="A142" s="92" t="s">
        <v>410</v>
      </c>
      <c r="B142" s="69" t="s">
        <v>393</v>
      </c>
      <c r="C142" s="306" t="s">
        <v>394</v>
      </c>
      <c r="D142" s="307"/>
      <c r="E142" s="69" t="s">
        <v>281</v>
      </c>
      <c r="F142" s="77">
        <v>642.04</v>
      </c>
      <c r="G142" s="218">
        <v>0</v>
      </c>
      <c r="H142" s="77">
        <f>F142*AM142</f>
        <v>0</v>
      </c>
      <c r="I142" s="77">
        <f>F142*AN142</f>
        <v>0</v>
      </c>
      <c r="J142" s="77">
        <f>F142*G142</f>
        <v>0</v>
      </c>
      <c r="K142" s="77">
        <v>0</v>
      </c>
      <c r="L142" s="77">
        <f>F142*K142</f>
        <v>0</v>
      </c>
      <c r="M142" s="103" t="s">
        <v>35</v>
      </c>
      <c r="X142" s="77">
        <f>IF(AO142="5",BH142,0)</f>
        <v>0</v>
      </c>
      <c r="Z142" s="77">
        <f>IF(AO142="1",BF142,0)</f>
        <v>0</v>
      </c>
      <c r="AA142" s="77">
        <f>IF(AO142="1",BG142,0)</f>
        <v>0</v>
      </c>
      <c r="AB142" s="77">
        <f>IF(AO142="7",BF142,0)</f>
        <v>0</v>
      </c>
      <c r="AC142" s="77">
        <f>IF(AO142="7",BG142,0)</f>
        <v>0</v>
      </c>
      <c r="AD142" s="77">
        <f>IF(AO142="2",BF142,0)</f>
        <v>0</v>
      </c>
      <c r="AE142" s="77">
        <f>IF(AO142="2",BG142,0)</f>
        <v>0</v>
      </c>
      <c r="AF142" s="77">
        <f>IF(AO142="0",BH142,0)</f>
        <v>0</v>
      </c>
      <c r="AG142" s="71" t="s">
        <v>129</v>
      </c>
      <c r="AH142" s="77">
        <f>IF(AL142=0,J142,0)</f>
        <v>0</v>
      </c>
      <c r="AI142" s="77">
        <f>IF(AL142=15,J142,0)</f>
        <v>0</v>
      </c>
      <c r="AJ142" s="77">
        <f>IF(AL142=21,J142,0)</f>
        <v>0</v>
      </c>
      <c r="AL142" s="77">
        <v>21</v>
      </c>
      <c r="AM142" s="77">
        <f>G142*0</f>
        <v>0</v>
      </c>
      <c r="AN142" s="77">
        <f>G142*(1-0)</f>
        <v>0</v>
      </c>
      <c r="AO142" s="79" t="s">
        <v>158</v>
      </c>
      <c r="AT142" s="77">
        <f>AU142+AV142</f>
        <v>0</v>
      </c>
      <c r="AU142" s="77">
        <f>F142*AM142</f>
        <v>0</v>
      </c>
      <c r="AV142" s="77">
        <f>F142*AN142</f>
        <v>0</v>
      </c>
      <c r="AW142" s="79" t="s">
        <v>391</v>
      </c>
      <c r="AX142" s="79" t="s">
        <v>384</v>
      </c>
      <c r="AY142" s="71" t="s">
        <v>137</v>
      </c>
      <c r="BA142" s="77">
        <f>AU142+AV142</f>
        <v>0</v>
      </c>
      <c r="BB142" s="77">
        <f>G142/(100-BC142)*100</f>
        <v>0</v>
      </c>
      <c r="BC142" s="77">
        <v>0</v>
      </c>
      <c r="BD142" s="77">
        <f>L142</f>
        <v>0</v>
      </c>
      <c r="BF142" s="77">
        <f>F142*AM142</f>
        <v>0</v>
      </c>
      <c r="BG142" s="77">
        <f>F142*AN142</f>
        <v>0</v>
      </c>
      <c r="BH142" s="77">
        <f>F142*G142</f>
        <v>0</v>
      </c>
      <c r="BI142" s="77"/>
      <c r="BJ142" s="77"/>
      <c r="BU142" s="77" t="e">
        <f>#REF!</f>
        <v>#REF!</v>
      </c>
      <c r="BV142" s="70" t="s">
        <v>394</v>
      </c>
    </row>
    <row r="143" spans="1:74" ht="40.5" customHeight="1" x14ac:dyDescent="0.25">
      <c r="A143" s="104"/>
      <c r="B143" s="81" t="s">
        <v>138</v>
      </c>
      <c r="C143" s="303" t="s">
        <v>580</v>
      </c>
      <c r="D143" s="304"/>
      <c r="E143" s="304"/>
      <c r="F143" s="304"/>
      <c r="G143" s="304"/>
      <c r="H143" s="304"/>
      <c r="I143" s="304"/>
      <c r="J143" s="304"/>
      <c r="K143" s="304"/>
      <c r="L143" s="304"/>
      <c r="M143" s="305"/>
    </row>
    <row r="144" spans="1:74" x14ac:dyDescent="0.25">
      <c r="A144" s="92" t="s">
        <v>415</v>
      </c>
      <c r="B144" s="69" t="s">
        <v>397</v>
      </c>
      <c r="C144" s="306" t="s">
        <v>398</v>
      </c>
      <c r="D144" s="307"/>
      <c r="E144" s="69" t="s">
        <v>281</v>
      </c>
      <c r="F144" s="77">
        <v>214.01</v>
      </c>
      <c r="G144" s="218">
        <v>0</v>
      </c>
      <c r="H144" s="77">
        <f>F144*AM144</f>
        <v>0</v>
      </c>
      <c r="I144" s="77">
        <f>F144*AN144</f>
        <v>0</v>
      </c>
      <c r="J144" s="77">
        <f>F144*G144</f>
        <v>0</v>
      </c>
      <c r="K144" s="77">
        <v>0</v>
      </c>
      <c r="L144" s="77">
        <f>F144*K144</f>
        <v>0</v>
      </c>
      <c r="M144" s="103" t="s">
        <v>35</v>
      </c>
      <c r="X144" s="77">
        <f>IF(AO144="5",BH144,0)</f>
        <v>0</v>
      </c>
      <c r="Z144" s="77">
        <f>IF(AO144="1",BF144,0)</f>
        <v>0</v>
      </c>
      <c r="AA144" s="77">
        <f>IF(AO144="1",BG144,0)</f>
        <v>0</v>
      </c>
      <c r="AB144" s="77">
        <f>IF(AO144="7",BF144,0)</f>
        <v>0</v>
      </c>
      <c r="AC144" s="77">
        <f>IF(AO144="7",BG144,0)</f>
        <v>0</v>
      </c>
      <c r="AD144" s="77">
        <f>IF(AO144="2",BF144,0)</f>
        <v>0</v>
      </c>
      <c r="AE144" s="77">
        <f>IF(AO144="2",BG144,0)</f>
        <v>0</v>
      </c>
      <c r="AF144" s="77">
        <f>IF(AO144="0",BH144,0)</f>
        <v>0</v>
      </c>
      <c r="AG144" s="71" t="s">
        <v>129</v>
      </c>
      <c r="AH144" s="77">
        <f>IF(AL144=0,J144,0)</f>
        <v>0</v>
      </c>
      <c r="AI144" s="77">
        <f>IF(AL144=15,J144,0)</f>
        <v>0</v>
      </c>
      <c r="AJ144" s="77">
        <f>IF(AL144=21,J144,0)</f>
        <v>0</v>
      </c>
      <c r="AL144" s="77">
        <v>21</v>
      </c>
      <c r="AM144" s="77">
        <f>G144*0</f>
        <v>0</v>
      </c>
      <c r="AN144" s="77">
        <f>G144*(1-0)</f>
        <v>0</v>
      </c>
      <c r="AO144" s="79" t="s">
        <v>158</v>
      </c>
      <c r="AT144" s="77">
        <f>AU144+AV144</f>
        <v>0</v>
      </c>
      <c r="AU144" s="77">
        <f>F144*AM144</f>
        <v>0</v>
      </c>
      <c r="AV144" s="77">
        <f>F144*AN144</f>
        <v>0</v>
      </c>
      <c r="AW144" s="79" t="s">
        <v>391</v>
      </c>
      <c r="AX144" s="79" t="s">
        <v>384</v>
      </c>
      <c r="AY144" s="71" t="s">
        <v>137</v>
      </c>
      <c r="BA144" s="77">
        <f>AU144+AV144</f>
        <v>0</v>
      </c>
      <c r="BB144" s="77">
        <f>G144/(100-BC144)*100</f>
        <v>0</v>
      </c>
      <c r="BC144" s="77">
        <v>0</v>
      </c>
      <c r="BD144" s="77">
        <f>L144</f>
        <v>0</v>
      </c>
      <c r="BF144" s="77">
        <f>F144*AM144</f>
        <v>0</v>
      </c>
      <c r="BG144" s="77">
        <f>F144*AN144</f>
        <v>0</v>
      </c>
      <c r="BH144" s="77">
        <f>F144*G144</f>
        <v>0</v>
      </c>
      <c r="BI144" s="77"/>
      <c r="BJ144" s="77"/>
      <c r="BU144" s="77" t="e">
        <f>#REF!</f>
        <v>#REF!</v>
      </c>
      <c r="BV144" s="70" t="s">
        <v>398</v>
      </c>
    </row>
    <row r="145" spans="1:74" ht="40.5" customHeight="1" x14ac:dyDescent="0.25">
      <c r="A145" s="104"/>
      <c r="B145" s="81" t="s">
        <v>138</v>
      </c>
      <c r="C145" s="303" t="s">
        <v>581</v>
      </c>
      <c r="D145" s="304"/>
      <c r="E145" s="304"/>
      <c r="F145" s="304"/>
      <c r="G145" s="304"/>
      <c r="H145" s="304"/>
      <c r="I145" s="304"/>
      <c r="J145" s="304"/>
      <c r="K145" s="304"/>
      <c r="L145" s="304"/>
      <c r="M145" s="305"/>
    </row>
    <row r="146" spans="1:74" ht="25.5" x14ac:dyDescent="0.25">
      <c r="A146" s="92" t="s">
        <v>419</v>
      </c>
      <c r="B146" s="69" t="s">
        <v>389</v>
      </c>
      <c r="C146" s="306" t="s">
        <v>400</v>
      </c>
      <c r="D146" s="307"/>
      <c r="E146" s="69" t="s">
        <v>281</v>
      </c>
      <c r="F146" s="77">
        <v>269.22000000000003</v>
      </c>
      <c r="G146" s="218">
        <v>0</v>
      </c>
      <c r="H146" s="77">
        <f>F146*AM146</f>
        <v>0</v>
      </c>
      <c r="I146" s="77">
        <f>F146*AN146</f>
        <v>0</v>
      </c>
      <c r="J146" s="77">
        <f>F146*G146</f>
        <v>0</v>
      </c>
      <c r="K146" s="77">
        <v>0</v>
      </c>
      <c r="L146" s="77">
        <f>F146*K146</f>
        <v>0</v>
      </c>
      <c r="M146" s="103" t="s">
        <v>35</v>
      </c>
      <c r="X146" s="77">
        <f>IF(AO146="5",BH146,0)</f>
        <v>0</v>
      </c>
      <c r="Z146" s="77">
        <f>IF(AO146="1",BF146,0)</f>
        <v>0</v>
      </c>
      <c r="AA146" s="77">
        <f>IF(AO146="1",BG146,0)</f>
        <v>0</v>
      </c>
      <c r="AB146" s="77">
        <f>IF(AO146="7",BF146,0)</f>
        <v>0</v>
      </c>
      <c r="AC146" s="77">
        <f>IF(AO146="7",BG146,0)</f>
        <v>0</v>
      </c>
      <c r="AD146" s="77">
        <f>IF(AO146="2",BF146,0)</f>
        <v>0</v>
      </c>
      <c r="AE146" s="77">
        <f>IF(AO146="2",BG146,0)</f>
        <v>0</v>
      </c>
      <c r="AF146" s="77">
        <f>IF(AO146="0",BH146,0)</f>
        <v>0</v>
      </c>
      <c r="AG146" s="71" t="s">
        <v>129</v>
      </c>
      <c r="AH146" s="77">
        <f>IF(AL146=0,J146,0)</f>
        <v>0</v>
      </c>
      <c r="AI146" s="77">
        <f>IF(AL146=15,J146,0)</f>
        <v>0</v>
      </c>
      <c r="AJ146" s="77">
        <f>IF(AL146=21,J146,0)</f>
        <v>0</v>
      </c>
      <c r="AL146" s="77">
        <v>21</v>
      </c>
      <c r="AM146" s="77">
        <f>G146*0</f>
        <v>0</v>
      </c>
      <c r="AN146" s="77">
        <f>G146*(1-0)</f>
        <v>0</v>
      </c>
      <c r="AO146" s="79" t="s">
        <v>158</v>
      </c>
      <c r="AT146" s="77">
        <f>AU146+AV146</f>
        <v>0</v>
      </c>
      <c r="AU146" s="77">
        <f>F146*AM146</f>
        <v>0</v>
      </c>
      <c r="AV146" s="77">
        <f>F146*AN146</f>
        <v>0</v>
      </c>
      <c r="AW146" s="79" t="s">
        <v>391</v>
      </c>
      <c r="AX146" s="79" t="s">
        <v>384</v>
      </c>
      <c r="AY146" s="71" t="s">
        <v>137</v>
      </c>
      <c r="BA146" s="77">
        <f>AU146+AV146</f>
        <v>0</v>
      </c>
      <c r="BB146" s="77">
        <f>G146/(100-BC146)*100</f>
        <v>0</v>
      </c>
      <c r="BC146" s="77">
        <v>0</v>
      </c>
      <c r="BD146" s="77">
        <f>L146</f>
        <v>0</v>
      </c>
      <c r="BF146" s="77">
        <f>F146*AM146</f>
        <v>0</v>
      </c>
      <c r="BG146" s="77">
        <f>F146*AN146</f>
        <v>0</v>
      </c>
      <c r="BH146" s="77">
        <f>F146*G146</f>
        <v>0</v>
      </c>
      <c r="BI146" s="77"/>
      <c r="BJ146" s="77"/>
      <c r="BU146" s="77" t="e">
        <f>#REF!</f>
        <v>#REF!</v>
      </c>
      <c r="BV146" s="70" t="s">
        <v>400</v>
      </c>
    </row>
    <row r="147" spans="1:74" x14ac:dyDescent="0.25">
      <c r="A147" s="105" t="s">
        <v>129</v>
      </c>
      <c r="B147" s="74" t="s">
        <v>401</v>
      </c>
      <c r="C147" s="314" t="s">
        <v>402</v>
      </c>
      <c r="D147" s="315"/>
      <c r="E147" s="75" t="s">
        <v>87</v>
      </c>
      <c r="F147" s="75" t="s">
        <v>87</v>
      </c>
      <c r="G147" s="75" t="s">
        <v>87</v>
      </c>
      <c r="H147" s="67">
        <f>SUM(H148:H149)</f>
        <v>0</v>
      </c>
      <c r="I147" s="67">
        <f>SUM(I148:I149)</f>
        <v>0</v>
      </c>
      <c r="J147" s="67">
        <f>SUM(J148:J149)</f>
        <v>0</v>
      </c>
      <c r="K147" s="71" t="s">
        <v>129</v>
      </c>
      <c r="L147" s="67">
        <f>SUM(L148:L149)</f>
        <v>0</v>
      </c>
      <c r="M147" s="106" t="s">
        <v>129</v>
      </c>
      <c r="AG147" s="71" t="s">
        <v>129</v>
      </c>
      <c r="AQ147" s="67">
        <f>SUM(AH148:AH149)</f>
        <v>0</v>
      </c>
      <c r="AR147" s="67">
        <f>SUM(AI148:AI149)</f>
        <v>0</v>
      </c>
      <c r="AS147" s="67">
        <f>SUM(AJ148:AJ149)</f>
        <v>0</v>
      </c>
    </row>
    <row r="148" spans="1:74" x14ac:dyDescent="0.25">
      <c r="A148" s="92" t="s">
        <v>421</v>
      </c>
      <c r="B148" s="69" t="s">
        <v>582</v>
      </c>
      <c r="C148" s="306" t="s">
        <v>583</v>
      </c>
      <c r="D148" s="307"/>
      <c r="E148" s="69" t="s">
        <v>281</v>
      </c>
      <c r="F148" s="77">
        <v>5.04</v>
      </c>
      <c r="G148" s="218">
        <v>0</v>
      </c>
      <c r="H148" s="77">
        <f>F148*AM148</f>
        <v>0</v>
      </c>
      <c r="I148" s="77">
        <f>F148*AN148</f>
        <v>0</v>
      </c>
      <c r="J148" s="77">
        <f>F148*G148</f>
        <v>0</v>
      </c>
      <c r="K148" s="77">
        <v>0</v>
      </c>
      <c r="L148" s="77">
        <f>F148*K148</f>
        <v>0</v>
      </c>
      <c r="M148" s="103" t="s">
        <v>35</v>
      </c>
      <c r="X148" s="77">
        <f>IF(AO148="5",BH148,0)</f>
        <v>0</v>
      </c>
      <c r="Z148" s="77">
        <f>IF(AO148="1",BF148,0)</f>
        <v>0</v>
      </c>
      <c r="AA148" s="77">
        <f>IF(AO148="1",BG148,0)</f>
        <v>0</v>
      </c>
      <c r="AB148" s="77">
        <f>IF(AO148="7",BF148,0)</f>
        <v>0</v>
      </c>
      <c r="AC148" s="77">
        <f>IF(AO148="7",BG148,0)</f>
        <v>0</v>
      </c>
      <c r="AD148" s="77">
        <f>IF(AO148="2",BF148,0)</f>
        <v>0</v>
      </c>
      <c r="AE148" s="77">
        <f>IF(AO148="2",BG148,0)</f>
        <v>0</v>
      </c>
      <c r="AF148" s="77">
        <f>IF(AO148="0",BH148,0)</f>
        <v>0</v>
      </c>
      <c r="AG148" s="71" t="s">
        <v>129</v>
      </c>
      <c r="AH148" s="77">
        <f>IF(AL148=0,J148,0)</f>
        <v>0</v>
      </c>
      <c r="AI148" s="77">
        <f>IF(AL148=15,J148,0)</f>
        <v>0</v>
      </c>
      <c r="AJ148" s="77">
        <f>IF(AL148=21,J148,0)</f>
        <v>0</v>
      </c>
      <c r="AL148" s="77">
        <v>21</v>
      </c>
      <c r="AM148" s="77">
        <f>G148*0</f>
        <v>0</v>
      </c>
      <c r="AN148" s="77">
        <f>G148*(1-0)</f>
        <v>0</v>
      </c>
      <c r="AO148" s="79" t="s">
        <v>158</v>
      </c>
      <c r="AT148" s="77">
        <f>AU148+AV148</f>
        <v>0</v>
      </c>
      <c r="AU148" s="77">
        <f>F148*AM148</f>
        <v>0</v>
      </c>
      <c r="AV148" s="77">
        <f>F148*AN148</f>
        <v>0</v>
      </c>
      <c r="AW148" s="79" t="s">
        <v>406</v>
      </c>
      <c r="AX148" s="79" t="s">
        <v>384</v>
      </c>
      <c r="AY148" s="71" t="s">
        <v>137</v>
      </c>
      <c r="BA148" s="77">
        <f>AU148+AV148</f>
        <v>0</v>
      </c>
      <c r="BB148" s="77">
        <f>G148/(100-BC148)*100</f>
        <v>0</v>
      </c>
      <c r="BC148" s="77">
        <v>0</v>
      </c>
      <c r="BD148" s="77">
        <f>L148</f>
        <v>0</v>
      </c>
      <c r="BF148" s="77">
        <f>F148*AM148</f>
        <v>0</v>
      </c>
      <c r="BG148" s="77">
        <f>F148*AN148</f>
        <v>0</v>
      </c>
      <c r="BH148" s="77">
        <f>F148*G148</f>
        <v>0</v>
      </c>
      <c r="BI148" s="77"/>
      <c r="BJ148" s="77"/>
      <c r="BU148" s="77" t="e">
        <f>#REF!</f>
        <v>#REF!</v>
      </c>
      <c r="BV148" s="70" t="s">
        <v>583</v>
      </c>
    </row>
    <row r="149" spans="1:74" x14ac:dyDescent="0.25">
      <c r="A149" s="92" t="s">
        <v>425</v>
      </c>
      <c r="B149" s="69" t="s">
        <v>582</v>
      </c>
      <c r="C149" s="306" t="s">
        <v>584</v>
      </c>
      <c r="D149" s="307"/>
      <c r="E149" s="69" t="s">
        <v>281</v>
      </c>
      <c r="F149" s="77">
        <v>106.65</v>
      </c>
      <c r="G149" s="218">
        <v>0</v>
      </c>
      <c r="H149" s="77">
        <f>F149*AM149</f>
        <v>0</v>
      </c>
      <c r="I149" s="77">
        <f>F149*AN149</f>
        <v>0</v>
      </c>
      <c r="J149" s="77">
        <f>F149*G149</f>
        <v>0</v>
      </c>
      <c r="K149" s="77">
        <v>0</v>
      </c>
      <c r="L149" s="77">
        <f>F149*K149</f>
        <v>0</v>
      </c>
      <c r="M149" s="103" t="s">
        <v>35</v>
      </c>
      <c r="X149" s="77">
        <f>IF(AO149="5",BH149,0)</f>
        <v>0</v>
      </c>
      <c r="Z149" s="77">
        <f>IF(AO149="1",BF149,0)</f>
        <v>0</v>
      </c>
      <c r="AA149" s="77">
        <f>IF(AO149="1",BG149,0)</f>
        <v>0</v>
      </c>
      <c r="AB149" s="77">
        <f>IF(AO149="7",BF149,0)</f>
        <v>0</v>
      </c>
      <c r="AC149" s="77">
        <f>IF(AO149="7",BG149,0)</f>
        <v>0</v>
      </c>
      <c r="AD149" s="77">
        <f>IF(AO149="2",BF149,0)</f>
        <v>0</v>
      </c>
      <c r="AE149" s="77">
        <f>IF(AO149="2",BG149,0)</f>
        <v>0</v>
      </c>
      <c r="AF149" s="77">
        <f>IF(AO149="0",BH149,0)</f>
        <v>0</v>
      </c>
      <c r="AG149" s="71" t="s">
        <v>129</v>
      </c>
      <c r="AH149" s="77">
        <f>IF(AL149=0,J149,0)</f>
        <v>0</v>
      </c>
      <c r="AI149" s="77">
        <f>IF(AL149=15,J149,0)</f>
        <v>0</v>
      </c>
      <c r="AJ149" s="77">
        <f>IF(AL149=21,J149,0)</f>
        <v>0</v>
      </c>
      <c r="AL149" s="77">
        <v>21</v>
      </c>
      <c r="AM149" s="77">
        <f>G149*0</f>
        <v>0</v>
      </c>
      <c r="AN149" s="77">
        <f>G149*(1-0)</f>
        <v>0</v>
      </c>
      <c r="AO149" s="79" t="s">
        <v>158</v>
      </c>
      <c r="AT149" s="77">
        <f>AU149+AV149</f>
        <v>0</v>
      </c>
      <c r="AU149" s="77">
        <f>F149*AM149</f>
        <v>0</v>
      </c>
      <c r="AV149" s="77">
        <f>F149*AN149</f>
        <v>0</v>
      </c>
      <c r="AW149" s="79" t="s">
        <v>406</v>
      </c>
      <c r="AX149" s="79" t="s">
        <v>384</v>
      </c>
      <c r="AY149" s="71" t="s">
        <v>137</v>
      </c>
      <c r="BA149" s="77">
        <f>AU149+AV149</f>
        <v>0</v>
      </c>
      <c r="BB149" s="77">
        <f>G149/(100-BC149)*100</f>
        <v>0</v>
      </c>
      <c r="BC149" s="77">
        <v>0</v>
      </c>
      <c r="BD149" s="77">
        <f>L149</f>
        <v>0</v>
      </c>
      <c r="BF149" s="77">
        <f>F149*AM149</f>
        <v>0</v>
      </c>
      <c r="BG149" s="77">
        <f>F149*AN149</f>
        <v>0</v>
      </c>
      <c r="BH149" s="77">
        <f>F149*G149</f>
        <v>0</v>
      </c>
      <c r="BI149" s="77"/>
      <c r="BJ149" s="77"/>
      <c r="BU149" s="77" t="e">
        <f>#REF!</f>
        <v>#REF!</v>
      </c>
      <c r="BV149" s="70" t="s">
        <v>584</v>
      </c>
    </row>
    <row r="150" spans="1:74" x14ac:dyDescent="0.25">
      <c r="A150" s="105" t="s">
        <v>129</v>
      </c>
      <c r="B150" s="74" t="s">
        <v>585</v>
      </c>
      <c r="C150" s="314" t="s">
        <v>586</v>
      </c>
      <c r="D150" s="315"/>
      <c r="E150" s="75" t="s">
        <v>87</v>
      </c>
      <c r="F150" s="75" t="s">
        <v>87</v>
      </c>
      <c r="G150" s="75" t="s">
        <v>87</v>
      </c>
      <c r="H150" s="67">
        <f>SUM(H151:H151)</f>
        <v>0</v>
      </c>
      <c r="I150" s="67">
        <f>SUM(I151:I151)</f>
        <v>0</v>
      </c>
      <c r="J150" s="67">
        <f>SUM(J151:J151)</f>
        <v>0</v>
      </c>
      <c r="K150" s="71" t="s">
        <v>129</v>
      </c>
      <c r="L150" s="67">
        <f>SUM(L151:L151)</f>
        <v>0</v>
      </c>
      <c r="M150" s="106" t="s">
        <v>129</v>
      </c>
      <c r="AG150" s="71" t="s">
        <v>129</v>
      </c>
      <c r="AQ150" s="67">
        <f>SUM(AH151:AH151)</f>
        <v>0</v>
      </c>
      <c r="AR150" s="67">
        <f>SUM(AI151:AI151)</f>
        <v>0</v>
      </c>
      <c r="AS150" s="67">
        <f>SUM(AJ151:AJ151)</f>
        <v>0</v>
      </c>
    </row>
    <row r="151" spans="1:74" x14ac:dyDescent="0.25">
      <c r="A151" s="92" t="s">
        <v>429</v>
      </c>
      <c r="B151" s="69" t="s">
        <v>587</v>
      </c>
      <c r="C151" s="306" t="s">
        <v>588</v>
      </c>
      <c r="D151" s="307"/>
      <c r="E151" s="69" t="s">
        <v>281</v>
      </c>
      <c r="F151" s="77">
        <v>0.01</v>
      </c>
      <c r="G151" s="218">
        <v>0</v>
      </c>
      <c r="H151" s="77">
        <f>F151*AM151</f>
        <v>0</v>
      </c>
      <c r="I151" s="77">
        <f>F151*AN151</f>
        <v>0</v>
      </c>
      <c r="J151" s="77">
        <f>F151*G151</f>
        <v>0</v>
      </c>
      <c r="K151" s="77">
        <v>0</v>
      </c>
      <c r="L151" s="77">
        <f>F151*K151</f>
        <v>0</v>
      </c>
      <c r="M151" s="103" t="s">
        <v>35</v>
      </c>
      <c r="X151" s="77">
        <f>IF(AO151="5",BH151,0)</f>
        <v>0</v>
      </c>
      <c r="Z151" s="77">
        <f>IF(AO151="1",BF151,0)</f>
        <v>0</v>
      </c>
      <c r="AA151" s="77">
        <f>IF(AO151="1",BG151,0)</f>
        <v>0</v>
      </c>
      <c r="AB151" s="77">
        <f>IF(AO151="7",BF151,0)</f>
        <v>0</v>
      </c>
      <c r="AC151" s="77">
        <f>IF(AO151="7",BG151,0)</f>
        <v>0</v>
      </c>
      <c r="AD151" s="77">
        <f>IF(AO151="2",BF151,0)</f>
        <v>0</v>
      </c>
      <c r="AE151" s="77">
        <f>IF(AO151="2",BG151,0)</f>
        <v>0</v>
      </c>
      <c r="AF151" s="77">
        <f>IF(AO151="0",BH151,0)</f>
        <v>0</v>
      </c>
      <c r="AG151" s="71" t="s">
        <v>129</v>
      </c>
      <c r="AH151" s="77">
        <f>IF(AL151=0,J151,0)</f>
        <v>0</v>
      </c>
      <c r="AI151" s="77">
        <f>IF(AL151=15,J151,0)</f>
        <v>0</v>
      </c>
      <c r="AJ151" s="77">
        <f>IF(AL151=21,J151,0)</f>
        <v>0</v>
      </c>
      <c r="AL151" s="77">
        <v>21</v>
      </c>
      <c r="AM151" s="77">
        <f>G151*0</f>
        <v>0</v>
      </c>
      <c r="AN151" s="77">
        <f>G151*(1-0)</f>
        <v>0</v>
      </c>
      <c r="AO151" s="79" t="s">
        <v>158</v>
      </c>
      <c r="AT151" s="77">
        <f>AU151+AV151</f>
        <v>0</v>
      </c>
      <c r="AU151" s="77">
        <f>F151*AM151</f>
        <v>0</v>
      </c>
      <c r="AV151" s="77">
        <f>F151*AN151</f>
        <v>0</v>
      </c>
      <c r="AW151" s="79" t="s">
        <v>589</v>
      </c>
      <c r="AX151" s="79" t="s">
        <v>384</v>
      </c>
      <c r="AY151" s="71" t="s">
        <v>137</v>
      </c>
      <c r="BA151" s="77">
        <f>AU151+AV151</f>
        <v>0</v>
      </c>
      <c r="BB151" s="77">
        <f>G151/(100-BC151)*100</f>
        <v>0</v>
      </c>
      <c r="BC151" s="77">
        <v>0</v>
      </c>
      <c r="BD151" s="77">
        <f>L151</f>
        <v>0</v>
      </c>
      <c r="BF151" s="77">
        <f>F151*AM151</f>
        <v>0</v>
      </c>
      <c r="BG151" s="77">
        <f>F151*AN151</f>
        <v>0</v>
      </c>
      <c r="BH151" s="77">
        <f>F151*G151</f>
        <v>0</v>
      </c>
      <c r="BI151" s="77"/>
      <c r="BJ151" s="77"/>
      <c r="BU151" s="77" t="e">
        <f>#REF!</f>
        <v>#REF!</v>
      </c>
      <c r="BV151" s="70" t="s">
        <v>588</v>
      </c>
    </row>
    <row r="152" spans="1:74" x14ac:dyDescent="0.25">
      <c r="A152" s="105" t="s">
        <v>129</v>
      </c>
      <c r="B152" s="74" t="s">
        <v>590</v>
      </c>
      <c r="C152" s="314" t="s">
        <v>591</v>
      </c>
      <c r="D152" s="315"/>
      <c r="E152" s="75" t="s">
        <v>87</v>
      </c>
      <c r="F152" s="75" t="s">
        <v>87</v>
      </c>
      <c r="G152" s="75" t="s">
        <v>87</v>
      </c>
      <c r="H152" s="67">
        <f>SUM(H153:H153)</f>
        <v>0</v>
      </c>
      <c r="I152" s="67">
        <f>SUM(I153:I153)</f>
        <v>0</v>
      </c>
      <c r="J152" s="67">
        <f>SUM(J153:J153)</f>
        <v>0</v>
      </c>
      <c r="K152" s="71" t="s">
        <v>129</v>
      </c>
      <c r="L152" s="67">
        <f>SUM(L153:L153)</f>
        <v>0</v>
      </c>
      <c r="M152" s="106" t="s">
        <v>129</v>
      </c>
      <c r="AG152" s="71" t="s">
        <v>129</v>
      </c>
      <c r="AQ152" s="67">
        <f>SUM(AH153:AH153)</f>
        <v>0</v>
      </c>
      <c r="AR152" s="67">
        <f>SUM(AI153:AI153)</f>
        <v>0</v>
      </c>
      <c r="AS152" s="67">
        <f>SUM(AJ153:AJ153)</f>
        <v>0</v>
      </c>
    </row>
    <row r="153" spans="1:74" x14ac:dyDescent="0.25">
      <c r="A153" s="92" t="s">
        <v>433</v>
      </c>
      <c r="B153" s="69" t="s">
        <v>279</v>
      </c>
      <c r="C153" s="306" t="s">
        <v>280</v>
      </c>
      <c r="D153" s="307"/>
      <c r="E153" s="69" t="s">
        <v>281</v>
      </c>
      <c r="F153" s="77">
        <v>4.3600000000000003</v>
      </c>
      <c r="G153" s="218">
        <v>0</v>
      </c>
      <c r="H153" s="77">
        <f>F153*AM153</f>
        <v>0</v>
      </c>
      <c r="I153" s="77">
        <f>F153*AN153</f>
        <v>0</v>
      </c>
      <c r="J153" s="77">
        <f>F153*G153</f>
        <v>0</v>
      </c>
      <c r="K153" s="77">
        <v>0</v>
      </c>
      <c r="L153" s="77">
        <f>F153*K153</f>
        <v>0</v>
      </c>
      <c r="M153" s="103" t="s">
        <v>35</v>
      </c>
      <c r="X153" s="77">
        <f>IF(AO153="5",BH153,0)</f>
        <v>0</v>
      </c>
      <c r="Z153" s="77">
        <f>IF(AO153="1",BF153,0)</f>
        <v>0</v>
      </c>
      <c r="AA153" s="77">
        <f>IF(AO153="1",BG153,0)</f>
        <v>0</v>
      </c>
      <c r="AB153" s="77">
        <f>IF(AO153="7",BF153,0)</f>
        <v>0</v>
      </c>
      <c r="AC153" s="77">
        <f>IF(AO153="7",BG153,0)</f>
        <v>0</v>
      </c>
      <c r="AD153" s="77">
        <f>IF(AO153="2",BF153,0)</f>
        <v>0</v>
      </c>
      <c r="AE153" s="77">
        <f>IF(AO153="2",BG153,0)</f>
        <v>0</v>
      </c>
      <c r="AF153" s="77">
        <f>IF(AO153="0",BH153,0)</f>
        <v>0</v>
      </c>
      <c r="AG153" s="71" t="s">
        <v>129</v>
      </c>
      <c r="AH153" s="77">
        <f>IF(AL153=0,J153,0)</f>
        <v>0</v>
      </c>
      <c r="AI153" s="77">
        <f>IF(AL153=15,J153,0)</f>
        <v>0</v>
      </c>
      <c r="AJ153" s="77">
        <f>IF(AL153=21,J153,0)</f>
        <v>0</v>
      </c>
      <c r="AL153" s="77">
        <v>21</v>
      </c>
      <c r="AM153" s="77">
        <f>G153*0</f>
        <v>0</v>
      </c>
      <c r="AN153" s="77">
        <f>G153*(1-0)</f>
        <v>0</v>
      </c>
      <c r="AO153" s="79" t="s">
        <v>158</v>
      </c>
      <c r="AT153" s="77">
        <f>AU153+AV153</f>
        <v>0</v>
      </c>
      <c r="AU153" s="77">
        <f>F153*AM153</f>
        <v>0</v>
      </c>
      <c r="AV153" s="77">
        <f>F153*AN153</f>
        <v>0</v>
      </c>
      <c r="AW153" s="79" t="s">
        <v>592</v>
      </c>
      <c r="AX153" s="79" t="s">
        <v>384</v>
      </c>
      <c r="AY153" s="71" t="s">
        <v>137</v>
      </c>
      <c r="BA153" s="77">
        <f>AU153+AV153</f>
        <v>0</v>
      </c>
      <c r="BB153" s="77">
        <f>G153/(100-BC153)*100</f>
        <v>0</v>
      </c>
      <c r="BC153" s="77">
        <v>0</v>
      </c>
      <c r="BD153" s="77">
        <f>L153</f>
        <v>0</v>
      </c>
      <c r="BF153" s="77">
        <f>F153*AM153</f>
        <v>0</v>
      </c>
      <c r="BG153" s="77">
        <f>F153*AN153</f>
        <v>0</v>
      </c>
      <c r="BH153" s="77">
        <f>F153*G153</f>
        <v>0</v>
      </c>
      <c r="BI153" s="77"/>
      <c r="BJ153" s="77"/>
      <c r="BU153" s="77" t="e">
        <f>#REF!</f>
        <v>#REF!</v>
      </c>
      <c r="BV153" s="70" t="s">
        <v>280</v>
      </c>
    </row>
    <row r="154" spans="1:74" x14ac:dyDescent="0.25">
      <c r="A154" s="105" t="s">
        <v>129</v>
      </c>
      <c r="B154" s="74" t="s">
        <v>593</v>
      </c>
      <c r="C154" s="314" t="s">
        <v>594</v>
      </c>
      <c r="D154" s="315"/>
      <c r="E154" s="75" t="s">
        <v>87</v>
      </c>
      <c r="F154" s="75" t="s">
        <v>87</v>
      </c>
      <c r="G154" s="75" t="s">
        <v>87</v>
      </c>
      <c r="H154" s="67">
        <f>SUM(H155:H155)</f>
        <v>0</v>
      </c>
      <c r="I154" s="67">
        <f>SUM(I155:I155)</f>
        <v>0</v>
      </c>
      <c r="J154" s="67">
        <f>SUM(J155:J155)</f>
        <v>0</v>
      </c>
      <c r="K154" s="71" t="s">
        <v>129</v>
      </c>
      <c r="L154" s="67">
        <f>SUM(L155:L155)</f>
        <v>0</v>
      </c>
      <c r="M154" s="106" t="s">
        <v>129</v>
      </c>
      <c r="AG154" s="71" t="s">
        <v>129</v>
      </c>
      <c r="AQ154" s="67">
        <f>SUM(AH155:AH155)</f>
        <v>0</v>
      </c>
      <c r="AR154" s="67">
        <f>SUM(AI155:AI155)</f>
        <v>0</v>
      </c>
      <c r="AS154" s="67">
        <f>SUM(AJ155:AJ155)</f>
        <v>0</v>
      </c>
    </row>
    <row r="155" spans="1:74" x14ac:dyDescent="0.25">
      <c r="A155" s="92" t="s">
        <v>437</v>
      </c>
      <c r="B155" s="69" t="s">
        <v>595</v>
      </c>
      <c r="C155" s="306" t="s">
        <v>596</v>
      </c>
      <c r="D155" s="307"/>
      <c r="E155" s="69" t="s">
        <v>145</v>
      </c>
      <c r="F155" s="77">
        <v>106.26</v>
      </c>
      <c r="G155" s="218">
        <v>0</v>
      </c>
      <c r="H155" s="77">
        <f>F155*AM155</f>
        <v>0</v>
      </c>
      <c r="I155" s="77">
        <f>F155*AN155</f>
        <v>0</v>
      </c>
      <c r="J155" s="77">
        <f>F155*G155</f>
        <v>0</v>
      </c>
      <c r="K155" s="77">
        <v>0</v>
      </c>
      <c r="L155" s="77">
        <f>F155*K155</f>
        <v>0</v>
      </c>
      <c r="M155" s="103" t="s">
        <v>35</v>
      </c>
      <c r="X155" s="77">
        <f>IF(AO155="5",BH155,0)</f>
        <v>0</v>
      </c>
      <c r="Z155" s="77">
        <f>IF(AO155="1",BF155,0)</f>
        <v>0</v>
      </c>
      <c r="AA155" s="77">
        <f>IF(AO155="1",BG155,0)</f>
        <v>0</v>
      </c>
      <c r="AB155" s="77">
        <f>IF(AO155="7",BF155,0)</f>
        <v>0</v>
      </c>
      <c r="AC155" s="77">
        <f>IF(AO155="7",BG155,0)</f>
        <v>0</v>
      </c>
      <c r="AD155" s="77">
        <f>IF(AO155="2",BF155,0)</f>
        <v>0</v>
      </c>
      <c r="AE155" s="77">
        <f>IF(AO155="2",BG155,0)</f>
        <v>0</v>
      </c>
      <c r="AF155" s="77">
        <f>IF(AO155="0",BH155,0)</f>
        <v>0</v>
      </c>
      <c r="AG155" s="71" t="s">
        <v>129</v>
      </c>
      <c r="AH155" s="77">
        <f>IF(AL155=0,J155,0)</f>
        <v>0</v>
      </c>
      <c r="AI155" s="77">
        <f>IF(AL155=15,J155,0)</f>
        <v>0</v>
      </c>
      <c r="AJ155" s="77">
        <f>IF(AL155=21,J155,0)</f>
        <v>0</v>
      </c>
      <c r="AL155" s="77">
        <v>21</v>
      </c>
      <c r="AM155" s="77">
        <f>G155*0</f>
        <v>0</v>
      </c>
      <c r="AN155" s="77">
        <f>G155*(1-0)</f>
        <v>0</v>
      </c>
      <c r="AO155" s="79" t="s">
        <v>142</v>
      </c>
      <c r="AT155" s="77">
        <f>AU155+AV155</f>
        <v>0</v>
      </c>
      <c r="AU155" s="77">
        <f>F155*AM155</f>
        <v>0</v>
      </c>
      <c r="AV155" s="77">
        <f>F155*AN155</f>
        <v>0</v>
      </c>
      <c r="AW155" s="79" t="s">
        <v>597</v>
      </c>
      <c r="AX155" s="79" t="s">
        <v>384</v>
      </c>
      <c r="AY155" s="71" t="s">
        <v>137</v>
      </c>
      <c r="BA155" s="77">
        <f>AU155+AV155</f>
        <v>0</v>
      </c>
      <c r="BB155" s="77">
        <f>G155/(100-BC155)*100</f>
        <v>0</v>
      </c>
      <c r="BC155" s="77">
        <v>0</v>
      </c>
      <c r="BD155" s="77">
        <f>L155</f>
        <v>0</v>
      </c>
      <c r="BF155" s="77">
        <f>F155*AM155</f>
        <v>0</v>
      </c>
      <c r="BG155" s="77">
        <f>F155*AN155</f>
        <v>0</v>
      </c>
      <c r="BH155" s="77">
        <f>F155*G155</f>
        <v>0</v>
      </c>
      <c r="BI155" s="77"/>
      <c r="BJ155" s="77"/>
      <c r="BU155" s="77" t="e">
        <f>#REF!</f>
        <v>#REF!</v>
      </c>
      <c r="BV155" s="70" t="s">
        <v>596</v>
      </c>
    </row>
    <row r="156" spans="1:74" ht="40.5" customHeight="1" x14ac:dyDescent="0.25">
      <c r="A156" s="104"/>
      <c r="B156" s="81" t="s">
        <v>138</v>
      </c>
      <c r="C156" s="303" t="s">
        <v>598</v>
      </c>
      <c r="D156" s="304"/>
      <c r="E156" s="304"/>
      <c r="F156" s="304"/>
      <c r="G156" s="304"/>
      <c r="H156" s="304"/>
      <c r="I156" s="304"/>
      <c r="J156" s="304"/>
      <c r="K156" s="304"/>
      <c r="L156" s="304"/>
      <c r="M156" s="305"/>
    </row>
    <row r="157" spans="1:74" x14ac:dyDescent="0.25">
      <c r="A157" s="105" t="s">
        <v>129</v>
      </c>
      <c r="B157" s="74" t="s">
        <v>599</v>
      </c>
      <c r="C157" s="314" t="s">
        <v>600</v>
      </c>
      <c r="D157" s="315"/>
      <c r="E157" s="75" t="s">
        <v>87</v>
      </c>
      <c r="F157" s="75" t="s">
        <v>87</v>
      </c>
      <c r="G157" s="75" t="s">
        <v>87</v>
      </c>
      <c r="H157" s="67">
        <f>SUM(H158:H158)</f>
        <v>0</v>
      </c>
      <c r="I157" s="67">
        <f>SUM(I158:I158)</f>
        <v>0</v>
      </c>
      <c r="J157" s="67">
        <f>SUM(J158:J158)</f>
        <v>0</v>
      </c>
      <c r="K157" s="71" t="s">
        <v>129</v>
      </c>
      <c r="L157" s="67">
        <f>SUM(L158:L158)</f>
        <v>6.0000000000000002E-5</v>
      </c>
      <c r="M157" s="106" t="s">
        <v>129</v>
      </c>
      <c r="AG157" s="71" t="s">
        <v>129</v>
      </c>
      <c r="AQ157" s="67">
        <f>SUM(AH158:AH158)</f>
        <v>0</v>
      </c>
      <c r="AR157" s="67">
        <f>SUM(AI158:AI158)</f>
        <v>0</v>
      </c>
      <c r="AS157" s="67">
        <f>SUM(AJ158:AJ158)</f>
        <v>0</v>
      </c>
    </row>
    <row r="158" spans="1:74" x14ac:dyDescent="0.25">
      <c r="A158" s="92" t="s">
        <v>441</v>
      </c>
      <c r="B158" s="69" t="s">
        <v>601</v>
      </c>
      <c r="C158" s="306" t="s">
        <v>602</v>
      </c>
      <c r="D158" s="307"/>
      <c r="E158" s="69" t="s">
        <v>325</v>
      </c>
      <c r="F158" s="77">
        <v>2</v>
      </c>
      <c r="G158" s="218">
        <v>0</v>
      </c>
      <c r="H158" s="77">
        <f>F158*AM158</f>
        <v>0</v>
      </c>
      <c r="I158" s="77">
        <f>F158*AN158</f>
        <v>0</v>
      </c>
      <c r="J158" s="77">
        <f>F158*G158</f>
        <v>0</v>
      </c>
      <c r="K158" s="77">
        <v>3.0000000000000001E-5</v>
      </c>
      <c r="L158" s="77">
        <f>F158*K158</f>
        <v>6.0000000000000002E-5</v>
      </c>
      <c r="M158" s="103" t="s">
        <v>35</v>
      </c>
      <c r="X158" s="77">
        <f>IF(AO158="5",BH158,0)</f>
        <v>0</v>
      </c>
      <c r="Z158" s="77">
        <f>IF(AO158="1",BF158,0)</f>
        <v>0</v>
      </c>
      <c r="AA158" s="77">
        <f>IF(AO158="1",BG158,0)</f>
        <v>0</v>
      </c>
      <c r="AB158" s="77">
        <f>IF(AO158="7",BF158,0)</f>
        <v>0</v>
      </c>
      <c r="AC158" s="77">
        <f>IF(AO158="7",BG158,0)</f>
        <v>0</v>
      </c>
      <c r="AD158" s="77">
        <f>IF(AO158="2",BF158,0)</f>
        <v>0</v>
      </c>
      <c r="AE158" s="77">
        <f>IF(AO158="2",BG158,0)</f>
        <v>0</v>
      </c>
      <c r="AF158" s="77">
        <f>IF(AO158="0",BH158,0)</f>
        <v>0</v>
      </c>
      <c r="AG158" s="71" t="s">
        <v>129</v>
      </c>
      <c r="AH158" s="77">
        <f>IF(AL158=0,J158,0)</f>
        <v>0</v>
      </c>
      <c r="AI158" s="77">
        <f>IF(AL158=15,J158,0)</f>
        <v>0</v>
      </c>
      <c r="AJ158" s="77">
        <f>IF(AL158=21,J158,0)</f>
        <v>0</v>
      </c>
      <c r="AL158" s="77">
        <v>21</v>
      </c>
      <c r="AM158" s="77">
        <f>G158*0.726853476</f>
        <v>0</v>
      </c>
      <c r="AN158" s="77">
        <f>G158*(1-0.726853476)</f>
        <v>0</v>
      </c>
      <c r="AO158" s="79" t="s">
        <v>142</v>
      </c>
      <c r="AT158" s="77">
        <f>AU158+AV158</f>
        <v>0</v>
      </c>
      <c r="AU158" s="77">
        <f>F158*AM158</f>
        <v>0</v>
      </c>
      <c r="AV158" s="77">
        <f>F158*AN158</f>
        <v>0</v>
      </c>
      <c r="AW158" s="79" t="s">
        <v>603</v>
      </c>
      <c r="AX158" s="79" t="s">
        <v>384</v>
      </c>
      <c r="AY158" s="71" t="s">
        <v>137</v>
      </c>
      <c r="BA158" s="77">
        <f>AU158+AV158</f>
        <v>0</v>
      </c>
      <c r="BB158" s="77">
        <f>G158/(100-BC158)*100</f>
        <v>0</v>
      </c>
      <c r="BC158" s="77">
        <v>0</v>
      </c>
      <c r="BD158" s="77">
        <f>L158</f>
        <v>6.0000000000000002E-5</v>
      </c>
      <c r="BF158" s="77">
        <f>F158*AM158</f>
        <v>0</v>
      </c>
      <c r="BG158" s="77">
        <f>F158*AN158</f>
        <v>0</v>
      </c>
      <c r="BH158" s="77">
        <f>F158*G158</f>
        <v>0</v>
      </c>
      <c r="BI158" s="77"/>
      <c r="BJ158" s="77"/>
      <c r="BU158" s="77" t="e">
        <f>#REF!</f>
        <v>#REF!</v>
      </c>
      <c r="BV158" s="70" t="s">
        <v>602</v>
      </c>
    </row>
    <row r="159" spans="1:74" ht="40.5" customHeight="1" x14ac:dyDescent="0.25">
      <c r="A159" s="104"/>
      <c r="B159" s="81" t="s">
        <v>138</v>
      </c>
      <c r="C159" s="303" t="s">
        <v>604</v>
      </c>
      <c r="D159" s="304"/>
      <c r="E159" s="304"/>
      <c r="F159" s="304"/>
      <c r="G159" s="304"/>
      <c r="H159" s="304"/>
      <c r="I159" s="304"/>
      <c r="J159" s="304"/>
      <c r="K159" s="304"/>
      <c r="L159" s="304"/>
      <c r="M159" s="305"/>
    </row>
    <row r="160" spans="1:74" x14ac:dyDescent="0.25">
      <c r="A160" s="105" t="s">
        <v>129</v>
      </c>
      <c r="B160" s="74" t="s">
        <v>605</v>
      </c>
      <c r="C160" s="314" t="s">
        <v>606</v>
      </c>
      <c r="D160" s="315"/>
      <c r="E160" s="75" t="s">
        <v>87</v>
      </c>
      <c r="F160" s="75" t="s">
        <v>87</v>
      </c>
      <c r="G160" s="75" t="s">
        <v>87</v>
      </c>
      <c r="H160" s="67">
        <f>SUM(H161:H161)</f>
        <v>0</v>
      </c>
      <c r="I160" s="67">
        <f>SUM(I161:I161)</f>
        <v>0</v>
      </c>
      <c r="J160" s="67">
        <f>SUM(J161:J161)</f>
        <v>0</v>
      </c>
      <c r="K160" s="71" t="s">
        <v>129</v>
      </c>
      <c r="L160" s="67">
        <f>SUM(L161:L161)</f>
        <v>0</v>
      </c>
      <c r="M160" s="106" t="s">
        <v>129</v>
      </c>
      <c r="AG160" s="71" t="s">
        <v>129</v>
      </c>
      <c r="AQ160" s="67">
        <f>SUM(AH161:AH161)</f>
        <v>0</v>
      </c>
      <c r="AR160" s="67">
        <f>SUM(AI161:AI161)</f>
        <v>0</v>
      </c>
      <c r="AS160" s="67">
        <f>SUM(AJ161:AJ161)</f>
        <v>0</v>
      </c>
    </row>
    <row r="161" spans="1:74" x14ac:dyDescent="0.25">
      <c r="A161" s="92" t="s">
        <v>445</v>
      </c>
      <c r="B161" s="69" t="s">
        <v>607</v>
      </c>
      <c r="C161" s="306" t="s">
        <v>608</v>
      </c>
      <c r="D161" s="307"/>
      <c r="E161" s="69" t="s">
        <v>325</v>
      </c>
      <c r="F161" s="77">
        <v>1</v>
      </c>
      <c r="G161" s="218">
        <v>0</v>
      </c>
      <c r="H161" s="77">
        <f>F161*AM161</f>
        <v>0</v>
      </c>
      <c r="I161" s="77">
        <f>F161*AN161</f>
        <v>0</v>
      </c>
      <c r="J161" s="77">
        <f>F161*G161</f>
        <v>0</v>
      </c>
      <c r="K161" s="77">
        <v>0</v>
      </c>
      <c r="L161" s="77">
        <f>F161*K161</f>
        <v>0</v>
      </c>
      <c r="M161" s="103" t="s">
        <v>35</v>
      </c>
      <c r="X161" s="77">
        <f>IF(AO161="5",BH161,0)</f>
        <v>0</v>
      </c>
      <c r="Z161" s="77">
        <f>IF(AO161="1",BF161,0)</f>
        <v>0</v>
      </c>
      <c r="AA161" s="77">
        <f>IF(AO161="1",BG161,0)</f>
        <v>0</v>
      </c>
      <c r="AB161" s="77">
        <f>IF(AO161="7",BF161,0)</f>
        <v>0</v>
      </c>
      <c r="AC161" s="77">
        <f>IF(AO161="7",BG161,0)</f>
        <v>0</v>
      </c>
      <c r="AD161" s="77">
        <f>IF(AO161="2",BF161,0)</f>
        <v>0</v>
      </c>
      <c r="AE161" s="77">
        <f>IF(AO161="2",BG161,0)</f>
        <v>0</v>
      </c>
      <c r="AF161" s="77">
        <f>IF(AO161="0",BH161,0)</f>
        <v>0</v>
      </c>
      <c r="AG161" s="71" t="s">
        <v>129</v>
      </c>
      <c r="AH161" s="77">
        <f>IF(AL161=0,J161,0)</f>
        <v>0</v>
      </c>
      <c r="AI161" s="77">
        <f>IF(AL161=15,J161,0)</f>
        <v>0</v>
      </c>
      <c r="AJ161" s="77">
        <f>IF(AL161=21,J161,0)</f>
        <v>0</v>
      </c>
      <c r="AL161" s="77">
        <v>21</v>
      </c>
      <c r="AM161" s="77">
        <f>G161*0</f>
        <v>0</v>
      </c>
      <c r="AN161" s="77">
        <f>G161*(1-0)</f>
        <v>0</v>
      </c>
      <c r="AO161" s="79" t="s">
        <v>142</v>
      </c>
      <c r="AT161" s="77">
        <f>AU161+AV161</f>
        <v>0</v>
      </c>
      <c r="AU161" s="77">
        <f>F161*AM161</f>
        <v>0</v>
      </c>
      <c r="AV161" s="77">
        <f>F161*AN161</f>
        <v>0</v>
      </c>
      <c r="AW161" s="79" t="s">
        <v>609</v>
      </c>
      <c r="AX161" s="79" t="s">
        <v>384</v>
      </c>
      <c r="AY161" s="71" t="s">
        <v>137</v>
      </c>
      <c r="BA161" s="77">
        <f>AU161+AV161</f>
        <v>0</v>
      </c>
      <c r="BB161" s="77">
        <f>G161/(100-BC161)*100</f>
        <v>0</v>
      </c>
      <c r="BC161" s="77">
        <v>0</v>
      </c>
      <c r="BD161" s="77">
        <f>L161</f>
        <v>0</v>
      </c>
      <c r="BF161" s="77">
        <f>F161*AM161</f>
        <v>0</v>
      </c>
      <c r="BG161" s="77">
        <f>F161*AN161</f>
        <v>0</v>
      </c>
      <c r="BH161" s="77">
        <f>F161*G161</f>
        <v>0</v>
      </c>
      <c r="BI161" s="77"/>
      <c r="BJ161" s="77"/>
      <c r="BU161" s="77" t="e">
        <f>#REF!</f>
        <v>#REF!</v>
      </c>
      <c r="BV161" s="70" t="s">
        <v>608</v>
      </c>
    </row>
    <row r="162" spans="1:74" ht="27" customHeight="1" x14ac:dyDescent="0.25">
      <c r="A162" s="104"/>
      <c r="B162" s="81" t="s">
        <v>138</v>
      </c>
      <c r="C162" s="303" t="s">
        <v>610</v>
      </c>
      <c r="D162" s="304"/>
      <c r="E162" s="304"/>
      <c r="F162" s="304"/>
      <c r="G162" s="304"/>
      <c r="H162" s="304"/>
      <c r="I162" s="304"/>
      <c r="J162" s="304"/>
      <c r="K162" s="304"/>
      <c r="L162" s="304"/>
      <c r="M162" s="305"/>
    </row>
    <row r="163" spans="1:74" x14ac:dyDescent="0.25">
      <c r="A163" s="105" t="s">
        <v>129</v>
      </c>
      <c r="B163" s="74" t="s">
        <v>611</v>
      </c>
      <c r="C163" s="314" t="s">
        <v>606</v>
      </c>
      <c r="D163" s="315"/>
      <c r="E163" s="75" t="s">
        <v>87</v>
      </c>
      <c r="F163" s="75" t="s">
        <v>87</v>
      </c>
      <c r="G163" s="75" t="s">
        <v>87</v>
      </c>
      <c r="H163" s="67">
        <f>SUM(H164:H168)</f>
        <v>0</v>
      </c>
      <c r="I163" s="67">
        <f>SUM(I164:I168)</f>
        <v>0</v>
      </c>
      <c r="J163" s="67">
        <f>SUM(J164:J168)</f>
        <v>0</v>
      </c>
      <c r="K163" s="71" t="s">
        <v>129</v>
      </c>
      <c r="L163" s="67">
        <f>SUM(L164:L168)</f>
        <v>0</v>
      </c>
      <c r="M163" s="106" t="s">
        <v>129</v>
      </c>
      <c r="AG163" s="71" t="s">
        <v>129</v>
      </c>
      <c r="AQ163" s="67">
        <f>SUM(AH164:AH168)</f>
        <v>0</v>
      </c>
      <c r="AR163" s="67">
        <f>SUM(AI164:AI168)</f>
        <v>0</v>
      </c>
      <c r="AS163" s="67">
        <f>SUM(AJ164:AJ168)</f>
        <v>0</v>
      </c>
    </row>
    <row r="164" spans="1:74" x14ac:dyDescent="0.25">
      <c r="A164" s="92" t="s">
        <v>449</v>
      </c>
      <c r="B164" s="69" t="s">
        <v>612</v>
      </c>
      <c r="C164" s="306" t="s">
        <v>613</v>
      </c>
      <c r="D164" s="307"/>
      <c r="E164" s="69" t="s">
        <v>482</v>
      </c>
      <c r="F164" s="77">
        <v>2</v>
      </c>
      <c r="G164" s="218">
        <v>0</v>
      </c>
      <c r="H164" s="77">
        <f>F164*AM164</f>
        <v>0</v>
      </c>
      <c r="I164" s="77">
        <f>F164*AN164</f>
        <v>0</v>
      </c>
      <c r="J164" s="77">
        <f>F164*G164</f>
        <v>0</v>
      </c>
      <c r="K164" s="77">
        <v>0</v>
      </c>
      <c r="L164" s="77">
        <f>F164*K164</f>
        <v>0</v>
      </c>
      <c r="M164" s="103" t="s">
        <v>35</v>
      </c>
      <c r="X164" s="77">
        <f>IF(AO164="5",BH164,0)</f>
        <v>0</v>
      </c>
      <c r="Z164" s="77">
        <f>IF(AO164="1",BF164,0)</f>
        <v>0</v>
      </c>
      <c r="AA164" s="77">
        <f>IF(AO164="1",BG164,0)</f>
        <v>0</v>
      </c>
      <c r="AB164" s="77">
        <f>IF(AO164="7",BF164,0)</f>
        <v>0</v>
      </c>
      <c r="AC164" s="77">
        <f>IF(AO164="7",BG164,0)</f>
        <v>0</v>
      </c>
      <c r="AD164" s="77">
        <f>IF(AO164="2",BF164,0)</f>
        <v>0</v>
      </c>
      <c r="AE164" s="77">
        <f>IF(AO164="2",BG164,0)</f>
        <v>0</v>
      </c>
      <c r="AF164" s="77">
        <f>IF(AO164="0",BH164,0)</f>
        <v>0</v>
      </c>
      <c r="AG164" s="71" t="s">
        <v>129</v>
      </c>
      <c r="AH164" s="77">
        <f>IF(AL164=0,J164,0)</f>
        <v>0</v>
      </c>
      <c r="AI164" s="77">
        <f>IF(AL164=15,J164,0)</f>
        <v>0</v>
      </c>
      <c r="AJ164" s="77">
        <f>IF(AL164=21,J164,0)</f>
        <v>0</v>
      </c>
      <c r="AL164" s="77">
        <v>21</v>
      </c>
      <c r="AM164" s="77">
        <f>G164*0.474295191</f>
        <v>0</v>
      </c>
      <c r="AN164" s="77">
        <f>G164*(1-0.474295191)</f>
        <v>0</v>
      </c>
      <c r="AO164" s="79" t="s">
        <v>142</v>
      </c>
      <c r="AT164" s="77">
        <f>AU164+AV164</f>
        <v>0</v>
      </c>
      <c r="AU164" s="77">
        <f>F164*AM164</f>
        <v>0</v>
      </c>
      <c r="AV164" s="77">
        <f>F164*AN164</f>
        <v>0</v>
      </c>
      <c r="AW164" s="79" t="s">
        <v>614</v>
      </c>
      <c r="AX164" s="79" t="s">
        <v>384</v>
      </c>
      <c r="AY164" s="71" t="s">
        <v>137</v>
      </c>
      <c r="BA164" s="77">
        <f>AU164+AV164</f>
        <v>0</v>
      </c>
      <c r="BB164" s="77">
        <f>G164/(100-BC164)*100</f>
        <v>0</v>
      </c>
      <c r="BC164" s="77">
        <v>0</v>
      </c>
      <c r="BD164" s="77">
        <f>L164</f>
        <v>0</v>
      </c>
      <c r="BF164" s="77">
        <f>F164*AM164</f>
        <v>0</v>
      </c>
      <c r="BG164" s="77">
        <f>F164*AN164</f>
        <v>0</v>
      </c>
      <c r="BH164" s="77">
        <f>F164*G164</f>
        <v>0</v>
      </c>
      <c r="BI164" s="77"/>
      <c r="BJ164" s="77"/>
      <c r="BU164" s="77" t="e">
        <f>#REF!</f>
        <v>#REF!</v>
      </c>
      <c r="BV164" s="70" t="s">
        <v>613</v>
      </c>
    </row>
    <row r="165" spans="1:74" ht="40.5" customHeight="1" x14ac:dyDescent="0.25">
      <c r="A165" s="104"/>
      <c r="B165" s="81" t="s">
        <v>138</v>
      </c>
      <c r="C165" s="303" t="s">
        <v>615</v>
      </c>
      <c r="D165" s="304"/>
      <c r="E165" s="304"/>
      <c r="F165" s="304"/>
      <c r="G165" s="304"/>
      <c r="H165" s="304"/>
      <c r="I165" s="304"/>
      <c r="J165" s="304"/>
      <c r="K165" s="304"/>
      <c r="L165" s="304"/>
      <c r="M165" s="305"/>
    </row>
    <row r="166" spans="1:74" x14ac:dyDescent="0.25">
      <c r="A166" s="92" t="s">
        <v>452</v>
      </c>
      <c r="B166" s="69" t="s">
        <v>616</v>
      </c>
      <c r="C166" s="306" t="s">
        <v>617</v>
      </c>
      <c r="D166" s="307"/>
      <c r="E166" s="69" t="s">
        <v>482</v>
      </c>
      <c r="F166" s="77">
        <v>2</v>
      </c>
      <c r="G166" s="218">
        <v>0</v>
      </c>
      <c r="H166" s="77">
        <f>F166*AM166</f>
        <v>0</v>
      </c>
      <c r="I166" s="77">
        <f>F166*AN166</f>
        <v>0</v>
      </c>
      <c r="J166" s="77">
        <f>F166*G166</f>
        <v>0</v>
      </c>
      <c r="K166" s="77">
        <v>0</v>
      </c>
      <c r="L166" s="77">
        <f>F166*K166</f>
        <v>0</v>
      </c>
      <c r="M166" s="103" t="s">
        <v>35</v>
      </c>
      <c r="X166" s="77">
        <f>IF(AO166="5",BH166,0)</f>
        <v>0</v>
      </c>
      <c r="Z166" s="77">
        <f>IF(AO166="1",BF166,0)</f>
        <v>0</v>
      </c>
      <c r="AA166" s="77">
        <f>IF(AO166="1",BG166,0)</f>
        <v>0</v>
      </c>
      <c r="AB166" s="77">
        <f>IF(AO166="7",BF166,0)</f>
        <v>0</v>
      </c>
      <c r="AC166" s="77">
        <f>IF(AO166="7",BG166,0)</f>
        <v>0</v>
      </c>
      <c r="AD166" s="77">
        <f>IF(AO166="2",BF166,0)</f>
        <v>0</v>
      </c>
      <c r="AE166" s="77">
        <f>IF(AO166="2",BG166,0)</f>
        <v>0</v>
      </c>
      <c r="AF166" s="77">
        <f>IF(AO166="0",BH166,0)</f>
        <v>0</v>
      </c>
      <c r="AG166" s="71" t="s">
        <v>129</v>
      </c>
      <c r="AH166" s="77">
        <f>IF(AL166=0,J166,0)</f>
        <v>0</v>
      </c>
      <c r="AI166" s="77">
        <f>IF(AL166=15,J166,0)</f>
        <v>0</v>
      </c>
      <c r="AJ166" s="77">
        <f>IF(AL166=21,J166,0)</f>
        <v>0</v>
      </c>
      <c r="AL166" s="77">
        <v>21</v>
      </c>
      <c r="AM166" s="77">
        <f>G166*0.302862419</f>
        <v>0</v>
      </c>
      <c r="AN166" s="77">
        <f>G166*(1-0.302862419)</f>
        <v>0</v>
      </c>
      <c r="AO166" s="79" t="s">
        <v>142</v>
      </c>
      <c r="AT166" s="77">
        <f>AU166+AV166</f>
        <v>0</v>
      </c>
      <c r="AU166" s="77">
        <f>F166*AM166</f>
        <v>0</v>
      </c>
      <c r="AV166" s="77">
        <f>F166*AN166</f>
        <v>0</v>
      </c>
      <c r="AW166" s="79" t="s">
        <v>614</v>
      </c>
      <c r="AX166" s="79" t="s">
        <v>384</v>
      </c>
      <c r="AY166" s="71" t="s">
        <v>137</v>
      </c>
      <c r="BA166" s="77">
        <f>AU166+AV166</f>
        <v>0</v>
      </c>
      <c r="BB166" s="77">
        <f>G166/(100-BC166)*100</f>
        <v>0</v>
      </c>
      <c r="BC166" s="77">
        <v>0</v>
      </c>
      <c r="BD166" s="77">
        <f>L166</f>
        <v>0</v>
      </c>
      <c r="BF166" s="77">
        <f>F166*AM166</f>
        <v>0</v>
      </c>
      <c r="BG166" s="77">
        <f>F166*AN166</f>
        <v>0</v>
      </c>
      <c r="BH166" s="77">
        <f>F166*G166</f>
        <v>0</v>
      </c>
      <c r="BI166" s="77"/>
      <c r="BJ166" s="77"/>
      <c r="BU166" s="77" t="e">
        <f>#REF!</f>
        <v>#REF!</v>
      </c>
      <c r="BV166" s="70" t="s">
        <v>617</v>
      </c>
    </row>
    <row r="167" spans="1:74" ht="40.5" customHeight="1" x14ac:dyDescent="0.25">
      <c r="A167" s="104"/>
      <c r="B167" s="81" t="s">
        <v>138</v>
      </c>
      <c r="C167" s="303" t="s">
        <v>618</v>
      </c>
      <c r="D167" s="304"/>
      <c r="E167" s="304"/>
      <c r="F167" s="304"/>
      <c r="G167" s="304"/>
      <c r="H167" s="304"/>
      <c r="I167" s="304"/>
      <c r="J167" s="304"/>
      <c r="K167" s="304"/>
      <c r="L167" s="304"/>
      <c r="M167" s="305"/>
    </row>
    <row r="168" spans="1:74" ht="25.5" x14ac:dyDescent="0.25">
      <c r="A168" s="92" t="s">
        <v>455</v>
      </c>
      <c r="B168" s="69" t="s">
        <v>619</v>
      </c>
      <c r="C168" s="306" t="s">
        <v>620</v>
      </c>
      <c r="D168" s="307"/>
      <c r="E168" s="69" t="s">
        <v>145</v>
      </c>
      <c r="F168" s="77">
        <v>111.09</v>
      </c>
      <c r="G168" s="218">
        <v>0</v>
      </c>
      <c r="H168" s="77">
        <f>F168*AM168</f>
        <v>0</v>
      </c>
      <c r="I168" s="77">
        <f>F168*AN168</f>
        <v>0</v>
      </c>
      <c r="J168" s="77">
        <f>F168*G168</f>
        <v>0</v>
      </c>
      <c r="K168" s="77">
        <v>0</v>
      </c>
      <c r="L168" s="77">
        <f>F168*K168</f>
        <v>0</v>
      </c>
      <c r="M168" s="103" t="s">
        <v>35</v>
      </c>
      <c r="X168" s="77">
        <f>IF(AO168="5",BH168,0)</f>
        <v>0</v>
      </c>
      <c r="Z168" s="77">
        <f>IF(AO168="1",BF168,0)</f>
        <v>0</v>
      </c>
      <c r="AA168" s="77">
        <f>IF(AO168="1",BG168,0)</f>
        <v>0</v>
      </c>
      <c r="AB168" s="77">
        <f>IF(AO168="7",BF168,0)</f>
        <v>0</v>
      </c>
      <c r="AC168" s="77">
        <f>IF(AO168="7",BG168,0)</f>
        <v>0</v>
      </c>
      <c r="AD168" s="77">
        <f>IF(AO168="2",BF168,0)</f>
        <v>0</v>
      </c>
      <c r="AE168" s="77">
        <f>IF(AO168="2",BG168,0)</f>
        <v>0</v>
      </c>
      <c r="AF168" s="77">
        <f>IF(AO168="0",BH168,0)</f>
        <v>0</v>
      </c>
      <c r="AG168" s="71" t="s">
        <v>129</v>
      </c>
      <c r="AH168" s="77">
        <f>IF(AL168=0,J168,0)</f>
        <v>0</v>
      </c>
      <c r="AI168" s="77">
        <f>IF(AL168=15,J168,0)</f>
        <v>0</v>
      </c>
      <c r="AJ168" s="77">
        <f>IF(AL168=21,J168,0)</f>
        <v>0</v>
      </c>
      <c r="AL168" s="77">
        <v>21</v>
      </c>
      <c r="AM168" s="77">
        <f>G168*0.811989101</f>
        <v>0</v>
      </c>
      <c r="AN168" s="77">
        <f>G168*(1-0.811989101)</f>
        <v>0</v>
      </c>
      <c r="AO168" s="79" t="s">
        <v>142</v>
      </c>
      <c r="AT168" s="77">
        <f>AU168+AV168</f>
        <v>0</v>
      </c>
      <c r="AU168" s="77">
        <f>F168*AM168</f>
        <v>0</v>
      </c>
      <c r="AV168" s="77">
        <f>F168*AN168</f>
        <v>0</v>
      </c>
      <c r="AW168" s="79" t="s">
        <v>614</v>
      </c>
      <c r="AX168" s="79" t="s">
        <v>384</v>
      </c>
      <c r="AY168" s="71" t="s">
        <v>137</v>
      </c>
      <c r="BA168" s="77">
        <f>AU168+AV168</f>
        <v>0</v>
      </c>
      <c r="BB168" s="77">
        <f>G168/(100-BC168)*100</f>
        <v>0</v>
      </c>
      <c r="BC168" s="77">
        <v>0</v>
      </c>
      <c r="BD168" s="77">
        <f>L168</f>
        <v>0</v>
      </c>
      <c r="BF168" s="77">
        <f>F168*AM168</f>
        <v>0</v>
      </c>
      <c r="BG168" s="77">
        <f>F168*AN168</f>
        <v>0</v>
      </c>
      <c r="BH168" s="77">
        <f>F168*G168</f>
        <v>0</v>
      </c>
      <c r="BI168" s="77"/>
      <c r="BJ168" s="77"/>
      <c r="BU168" s="77" t="e">
        <f>#REF!</f>
        <v>#REF!</v>
      </c>
      <c r="BV168" s="70" t="s">
        <v>620</v>
      </c>
    </row>
    <row r="169" spans="1:74" ht="67.5" customHeight="1" x14ac:dyDescent="0.25">
      <c r="A169" s="104"/>
      <c r="B169" s="81" t="s">
        <v>138</v>
      </c>
      <c r="C169" s="303" t="s">
        <v>621</v>
      </c>
      <c r="D169" s="304"/>
      <c r="E169" s="304"/>
      <c r="F169" s="304"/>
      <c r="G169" s="304"/>
      <c r="H169" s="304"/>
      <c r="I169" s="304"/>
      <c r="J169" s="304"/>
      <c r="K169" s="304"/>
      <c r="L169" s="304"/>
      <c r="M169" s="305"/>
    </row>
    <row r="170" spans="1:74" x14ac:dyDescent="0.25">
      <c r="A170" s="105" t="s">
        <v>129</v>
      </c>
      <c r="B170" s="74" t="s">
        <v>413</v>
      </c>
      <c r="C170" s="314" t="s">
        <v>414</v>
      </c>
      <c r="D170" s="315"/>
      <c r="E170" s="75" t="s">
        <v>87</v>
      </c>
      <c r="F170" s="75" t="s">
        <v>87</v>
      </c>
      <c r="G170" s="75" t="s">
        <v>87</v>
      </c>
      <c r="H170" s="67">
        <f>SUM(H171:H210)</f>
        <v>0</v>
      </c>
      <c r="I170" s="67">
        <f>SUM(I171:I210)</f>
        <v>0</v>
      </c>
      <c r="J170" s="67">
        <f>SUM(J171:J210)</f>
        <v>0</v>
      </c>
      <c r="K170" s="71" t="s">
        <v>129</v>
      </c>
      <c r="L170" s="67">
        <f>SUM(L171:L210)</f>
        <v>4.0229388000000004</v>
      </c>
      <c r="M170" s="106" t="s">
        <v>129</v>
      </c>
      <c r="AG170" s="71" t="s">
        <v>129</v>
      </c>
      <c r="AQ170" s="67">
        <f>SUM(AH171:AH210)</f>
        <v>0</v>
      </c>
      <c r="AR170" s="67">
        <f>SUM(AI171:AI210)</f>
        <v>0</v>
      </c>
      <c r="AS170" s="67">
        <f>SUM(AJ171:AJ210)</f>
        <v>0</v>
      </c>
    </row>
    <row r="171" spans="1:74" x14ac:dyDescent="0.25">
      <c r="A171" s="92" t="s">
        <v>458</v>
      </c>
      <c r="B171" s="69" t="s">
        <v>622</v>
      </c>
      <c r="C171" s="306" t="s">
        <v>623</v>
      </c>
      <c r="D171" s="307"/>
      <c r="E171" s="69" t="s">
        <v>145</v>
      </c>
      <c r="F171" s="77">
        <v>101.43</v>
      </c>
      <c r="G171" s="218">
        <v>0</v>
      </c>
      <c r="H171" s="77">
        <f>F171*AM171</f>
        <v>0</v>
      </c>
      <c r="I171" s="77">
        <f>F171*AN171</f>
        <v>0</v>
      </c>
      <c r="J171" s="77">
        <f>F171*G171</f>
        <v>0</v>
      </c>
      <c r="K171" s="77">
        <v>1.8599999999999998E-2</v>
      </c>
      <c r="L171" s="77">
        <f>F171*K171</f>
        <v>1.886598</v>
      </c>
      <c r="M171" s="103" t="s">
        <v>35</v>
      </c>
      <c r="X171" s="77">
        <f>IF(AO171="5",BH171,0)</f>
        <v>0</v>
      </c>
      <c r="Z171" s="77">
        <f>IF(AO171="1",BF171,0)</f>
        <v>0</v>
      </c>
      <c r="AA171" s="77">
        <f>IF(AO171="1",BG171,0)</f>
        <v>0</v>
      </c>
      <c r="AB171" s="77">
        <f>IF(AO171="7",BF171,0)</f>
        <v>0</v>
      </c>
      <c r="AC171" s="77">
        <f>IF(AO171="7",BG171,0)</f>
        <v>0</v>
      </c>
      <c r="AD171" s="77">
        <f>IF(AO171="2",BF171,0)</f>
        <v>0</v>
      </c>
      <c r="AE171" s="77">
        <f>IF(AO171="2",BG171,0)</f>
        <v>0</v>
      </c>
      <c r="AF171" s="77">
        <f>IF(AO171="0",BH171,0)</f>
        <v>0</v>
      </c>
      <c r="AG171" s="71" t="s">
        <v>129</v>
      </c>
      <c r="AH171" s="77">
        <f>IF(AL171=0,J171,0)</f>
        <v>0</v>
      </c>
      <c r="AI171" s="77">
        <f>IF(AL171=15,J171,0)</f>
        <v>0</v>
      </c>
      <c r="AJ171" s="77">
        <f>IF(AL171=21,J171,0)</f>
        <v>0</v>
      </c>
      <c r="AL171" s="77">
        <v>21</v>
      </c>
      <c r="AM171" s="77">
        <f>G171*1</f>
        <v>0</v>
      </c>
      <c r="AN171" s="77">
        <f>G171*(1-1)</f>
        <v>0</v>
      </c>
      <c r="AO171" s="79" t="s">
        <v>130</v>
      </c>
      <c r="AT171" s="77">
        <f>AU171+AV171</f>
        <v>0</v>
      </c>
      <c r="AU171" s="77">
        <f>F171*AM171</f>
        <v>0</v>
      </c>
      <c r="AV171" s="77">
        <f>F171*AN171</f>
        <v>0</v>
      </c>
      <c r="AW171" s="79" t="s">
        <v>416</v>
      </c>
      <c r="AX171" s="79" t="s">
        <v>417</v>
      </c>
      <c r="AY171" s="71" t="s">
        <v>137</v>
      </c>
      <c r="BA171" s="77">
        <f>AU171+AV171</f>
        <v>0</v>
      </c>
      <c r="BB171" s="77">
        <f>G171/(100-BC171)*100</f>
        <v>0</v>
      </c>
      <c r="BC171" s="77">
        <v>0</v>
      </c>
      <c r="BD171" s="77">
        <f>L171</f>
        <v>1.886598</v>
      </c>
      <c r="BF171" s="77">
        <f>F171*AM171</f>
        <v>0</v>
      </c>
      <c r="BG171" s="77">
        <f>F171*AN171</f>
        <v>0</v>
      </c>
      <c r="BH171" s="77">
        <f>F171*G171</f>
        <v>0</v>
      </c>
      <c r="BI171" s="77"/>
      <c r="BJ171" s="77"/>
      <c r="BU171" s="77" t="e">
        <f>#REF!</f>
        <v>#REF!</v>
      </c>
      <c r="BV171" s="70" t="s">
        <v>623</v>
      </c>
    </row>
    <row r="172" spans="1:74" ht="81" customHeight="1" thickBot="1" x14ac:dyDescent="0.3">
      <c r="A172" s="104"/>
      <c r="B172" s="81" t="s">
        <v>138</v>
      </c>
      <c r="C172" s="303" t="s">
        <v>624</v>
      </c>
      <c r="D172" s="304"/>
      <c r="E172" s="304"/>
      <c r="F172" s="304"/>
      <c r="G172" s="304"/>
      <c r="H172" s="304"/>
      <c r="I172" s="304"/>
      <c r="J172" s="304"/>
      <c r="K172" s="304"/>
      <c r="L172" s="304"/>
      <c r="M172" s="305"/>
    </row>
    <row r="173" spans="1:74" x14ac:dyDescent="0.25">
      <c r="A173" s="122" t="s">
        <v>461</v>
      </c>
      <c r="B173" s="109" t="s">
        <v>625</v>
      </c>
      <c r="C173" s="312" t="s">
        <v>626</v>
      </c>
      <c r="D173" s="313"/>
      <c r="E173" s="109" t="s">
        <v>325</v>
      </c>
      <c r="F173" s="123">
        <v>6</v>
      </c>
      <c r="G173" s="219">
        <v>0</v>
      </c>
      <c r="H173" s="123">
        <f t="shared" ref="H173:H191" si="0">F173*AM173</f>
        <v>0</v>
      </c>
      <c r="I173" s="123">
        <f t="shared" ref="I173:I191" si="1">F173*AN173</f>
        <v>0</v>
      </c>
      <c r="J173" s="123">
        <f t="shared" ref="J173:J191" si="2">F173*G173</f>
        <v>0</v>
      </c>
      <c r="K173" s="123">
        <v>7.1000000000000004E-3</v>
      </c>
      <c r="L173" s="123">
        <f t="shared" ref="L173:L191" si="3">F173*K173</f>
        <v>4.2599999999999999E-2</v>
      </c>
      <c r="M173" s="124" t="s">
        <v>35</v>
      </c>
      <c r="X173" s="77">
        <f t="shared" ref="X173:X191" si="4">IF(AO173="5",BH173,0)</f>
        <v>0</v>
      </c>
      <c r="Z173" s="77">
        <f t="shared" ref="Z173:Z191" si="5">IF(AO173="1",BF173,0)</f>
        <v>0</v>
      </c>
      <c r="AA173" s="77">
        <f t="shared" ref="AA173:AA191" si="6">IF(AO173="1",BG173,0)</f>
        <v>0</v>
      </c>
      <c r="AB173" s="77">
        <f t="shared" ref="AB173:AB191" si="7">IF(AO173="7",BF173,0)</f>
        <v>0</v>
      </c>
      <c r="AC173" s="77">
        <f t="shared" ref="AC173:AC191" si="8">IF(AO173="7",BG173,0)</f>
        <v>0</v>
      </c>
      <c r="AD173" s="77">
        <f t="shared" ref="AD173:AD191" si="9">IF(AO173="2",BF173,0)</f>
        <v>0</v>
      </c>
      <c r="AE173" s="77">
        <f t="shared" ref="AE173:AE191" si="10">IF(AO173="2",BG173,0)</f>
        <v>0</v>
      </c>
      <c r="AF173" s="77">
        <f t="shared" ref="AF173:AF191" si="11">IF(AO173="0",BH173,0)</f>
        <v>0</v>
      </c>
      <c r="AG173" s="71" t="s">
        <v>129</v>
      </c>
      <c r="AH173" s="77">
        <f t="shared" ref="AH173:AH191" si="12">IF(AL173=0,J173,0)</f>
        <v>0</v>
      </c>
      <c r="AI173" s="77">
        <f t="shared" ref="AI173:AI191" si="13">IF(AL173=15,J173,0)</f>
        <v>0</v>
      </c>
      <c r="AJ173" s="77">
        <f t="shared" ref="AJ173:AJ191" si="14">IF(AL173=21,J173,0)</f>
        <v>0</v>
      </c>
      <c r="AL173" s="77">
        <v>21</v>
      </c>
      <c r="AM173" s="77">
        <f t="shared" ref="AM173:AM191" si="15">G173*1</f>
        <v>0</v>
      </c>
      <c r="AN173" s="77">
        <f t="shared" ref="AN173:AN191" si="16">G173*(1-1)</f>
        <v>0</v>
      </c>
      <c r="AO173" s="79" t="s">
        <v>130</v>
      </c>
      <c r="AT173" s="77">
        <f t="shared" ref="AT173:AT191" si="17">AU173+AV173</f>
        <v>0</v>
      </c>
      <c r="AU173" s="77">
        <f t="shared" ref="AU173:AU191" si="18">F173*AM173</f>
        <v>0</v>
      </c>
      <c r="AV173" s="77">
        <f t="shared" ref="AV173:AV191" si="19">F173*AN173</f>
        <v>0</v>
      </c>
      <c r="AW173" s="79" t="s">
        <v>416</v>
      </c>
      <c r="AX173" s="79" t="s">
        <v>417</v>
      </c>
      <c r="AY173" s="71" t="s">
        <v>137</v>
      </c>
      <c r="BA173" s="77">
        <f t="shared" ref="BA173:BA191" si="20">AU173+AV173</f>
        <v>0</v>
      </c>
      <c r="BB173" s="77">
        <f t="shared" ref="BB173:BB191" si="21">G173/(100-BC173)*100</f>
        <v>0</v>
      </c>
      <c r="BC173" s="77">
        <v>0</v>
      </c>
      <c r="BD173" s="77">
        <f t="shared" ref="BD173:BD191" si="22">L173</f>
        <v>4.2599999999999999E-2</v>
      </c>
      <c r="BF173" s="77">
        <f t="shared" ref="BF173:BF191" si="23">F173*AM173</f>
        <v>0</v>
      </c>
      <c r="BG173" s="77">
        <f t="shared" ref="BG173:BG191" si="24">F173*AN173</f>
        <v>0</v>
      </c>
      <c r="BH173" s="77">
        <f t="shared" ref="BH173:BH191" si="25">F173*G173</f>
        <v>0</v>
      </c>
      <c r="BI173" s="77"/>
      <c r="BJ173" s="77"/>
      <c r="BU173" s="77" t="e">
        <f>#REF!</f>
        <v>#REF!</v>
      </c>
      <c r="BV173" s="70" t="s">
        <v>626</v>
      </c>
    </row>
    <row r="174" spans="1:74" x14ac:dyDescent="0.25">
      <c r="A174" s="92" t="s">
        <v>464</v>
      </c>
      <c r="B174" s="69" t="s">
        <v>627</v>
      </c>
      <c r="C174" s="306" t="s">
        <v>628</v>
      </c>
      <c r="D174" s="307"/>
      <c r="E174" s="69" t="s">
        <v>325</v>
      </c>
      <c r="F174" s="77">
        <v>3</v>
      </c>
      <c r="G174" s="218">
        <v>0</v>
      </c>
      <c r="H174" s="77">
        <f t="shared" si="0"/>
        <v>0</v>
      </c>
      <c r="I174" s="77">
        <f t="shared" si="1"/>
        <v>0</v>
      </c>
      <c r="J174" s="77">
        <f t="shared" si="2"/>
        <v>0</v>
      </c>
      <c r="K174" s="77">
        <v>7.7999999999999996E-3</v>
      </c>
      <c r="L174" s="77">
        <f t="shared" si="3"/>
        <v>2.3399999999999997E-2</v>
      </c>
      <c r="M174" s="103" t="s">
        <v>35</v>
      </c>
      <c r="X174" s="77">
        <f t="shared" si="4"/>
        <v>0</v>
      </c>
      <c r="Z174" s="77">
        <f t="shared" si="5"/>
        <v>0</v>
      </c>
      <c r="AA174" s="77">
        <f t="shared" si="6"/>
        <v>0</v>
      </c>
      <c r="AB174" s="77">
        <f t="shared" si="7"/>
        <v>0</v>
      </c>
      <c r="AC174" s="77">
        <f t="shared" si="8"/>
        <v>0</v>
      </c>
      <c r="AD174" s="77">
        <f t="shared" si="9"/>
        <v>0</v>
      </c>
      <c r="AE174" s="77">
        <f t="shared" si="10"/>
        <v>0</v>
      </c>
      <c r="AF174" s="77">
        <f t="shared" si="11"/>
        <v>0</v>
      </c>
      <c r="AG174" s="71" t="s">
        <v>129</v>
      </c>
      <c r="AH174" s="77">
        <f t="shared" si="12"/>
        <v>0</v>
      </c>
      <c r="AI174" s="77">
        <f t="shared" si="13"/>
        <v>0</v>
      </c>
      <c r="AJ174" s="77">
        <f t="shared" si="14"/>
        <v>0</v>
      </c>
      <c r="AL174" s="77">
        <v>21</v>
      </c>
      <c r="AM174" s="77">
        <f t="shared" si="15"/>
        <v>0</v>
      </c>
      <c r="AN174" s="77">
        <f t="shared" si="16"/>
        <v>0</v>
      </c>
      <c r="AO174" s="79" t="s">
        <v>130</v>
      </c>
      <c r="AT174" s="77">
        <f t="shared" si="17"/>
        <v>0</v>
      </c>
      <c r="AU174" s="77">
        <f t="shared" si="18"/>
        <v>0</v>
      </c>
      <c r="AV174" s="77">
        <f t="shared" si="19"/>
        <v>0</v>
      </c>
      <c r="AW174" s="79" t="s">
        <v>416</v>
      </c>
      <c r="AX174" s="79" t="s">
        <v>417</v>
      </c>
      <c r="AY174" s="71" t="s">
        <v>137</v>
      </c>
      <c r="BA174" s="77">
        <f t="shared" si="20"/>
        <v>0</v>
      </c>
      <c r="BB174" s="77">
        <f t="shared" si="21"/>
        <v>0</v>
      </c>
      <c r="BC174" s="77">
        <v>0</v>
      </c>
      <c r="BD174" s="77">
        <f t="shared" si="22"/>
        <v>2.3399999999999997E-2</v>
      </c>
      <c r="BF174" s="77">
        <f t="shared" si="23"/>
        <v>0</v>
      </c>
      <c r="BG174" s="77">
        <f t="shared" si="24"/>
        <v>0</v>
      </c>
      <c r="BH174" s="77">
        <f t="shared" si="25"/>
        <v>0</v>
      </c>
      <c r="BI174" s="77"/>
      <c r="BJ174" s="77"/>
      <c r="BU174" s="77" t="e">
        <f>#REF!</f>
        <v>#REF!</v>
      </c>
      <c r="BV174" s="70" t="s">
        <v>628</v>
      </c>
    </row>
    <row r="175" spans="1:74" x14ac:dyDescent="0.25">
      <c r="A175" s="92" t="s">
        <v>467</v>
      </c>
      <c r="B175" s="69" t="s">
        <v>629</v>
      </c>
      <c r="C175" s="306" t="s">
        <v>630</v>
      </c>
      <c r="D175" s="307"/>
      <c r="E175" s="69" t="s">
        <v>325</v>
      </c>
      <c r="F175" s="77">
        <v>1</v>
      </c>
      <c r="G175" s="218">
        <v>0</v>
      </c>
      <c r="H175" s="77">
        <f t="shared" si="0"/>
        <v>0</v>
      </c>
      <c r="I175" s="77">
        <f t="shared" si="1"/>
        <v>0</v>
      </c>
      <c r="J175" s="77">
        <f t="shared" si="2"/>
        <v>0</v>
      </c>
      <c r="K175" s="77">
        <v>6.8999999999999999E-3</v>
      </c>
      <c r="L175" s="77">
        <f t="shared" si="3"/>
        <v>6.8999999999999999E-3</v>
      </c>
      <c r="M175" s="103" t="s">
        <v>35</v>
      </c>
      <c r="X175" s="77">
        <f t="shared" si="4"/>
        <v>0</v>
      </c>
      <c r="Z175" s="77">
        <f t="shared" si="5"/>
        <v>0</v>
      </c>
      <c r="AA175" s="77">
        <f t="shared" si="6"/>
        <v>0</v>
      </c>
      <c r="AB175" s="77">
        <f t="shared" si="7"/>
        <v>0</v>
      </c>
      <c r="AC175" s="77">
        <f t="shared" si="8"/>
        <v>0</v>
      </c>
      <c r="AD175" s="77">
        <f t="shared" si="9"/>
        <v>0</v>
      </c>
      <c r="AE175" s="77">
        <f t="shared" si="10"/>
        <v>0</v>
      </c>
      <c r="AF175" s="77">
        <f t="shared" si="11"/>
        <v>0</v>
      </c>
      <c r="AG175" s="71" t="s">
        <v>129</v>
      </c>
      <c r="AH175" s="77">
        <f t="shared" si="12"/>
        <v>0</v>
      </c>
      <c r="AI175" s="77">
        <f t="shared" si="13"/>
        <v>0</v>
      </c>
      <c r="AJ175" s="77">
        <f t="shared" si="14"/>
        <v>0</v>
      </c>
      <c r="AL175" s="77">
        <v>21</v>
      </c>
      <c r="AM175" s="77">
        <f t="shared" si="15"/>
        <v>0</v>
      </c>
      <c r="AN175" s="77">
        <f t="shared" si="16"/>
        <v>0</v>
      </c>
      <c r="AO175" s="79" t="s">
        <v>130</v>
      </c>
      <c r="AT175" s="77">
        <f t="shared" si="17"/>
        <v>0</v>
      </c>
      <c r="AU175" s="77">
        <f t="shared" si="18"/>
        <v>0</v>
      </c>
      <c r="AV175" s="77">
        <f t="shared" si="19"/>
        <v>0</v>
      </c>
      <c r="AW175" s="79" t="s">
        <v>416</v>
      </c>
      <c r="AX175" s="79" t="s">
        <v>417</v>
      </c>
      <c r="AY175" s="71" t="s">
        <v>137</v>
      </c>
      <c r="BA175" s="77">
        <f t="shared" si="20"/>
        <v>0</v>
      </c>
      <c r="BB175" s="77">
        <f t="shared" si="21"/>
        <v>0</v>
      </c>
      <c r="BC175" s="77">
        <v>0</v>
      </c>
      <c r="BD175" s="77">
        <f t="shared" si="22"/>
        <v>6.8999999999999999E-3</v>
      </c>
      <c r="BF175" s="77">
        <f t="shared" si="23"/>
        <v>0</v>
      </c>
      <c r="BG175" s="77">
        <f t="shared" si="24"/>
        <v>0</v>
      </c>
      <c r="BH175" s="77">
        <f t="shared" si="25"/>
        <v>0</v>
      </c>
      <c r="BI175" s="77"/>
      <c r="BJ175" s="77"/>
      <c r="BU175" s="77" t="e">
        <f>#REF!</f>
        <v>#REF!</v>
      </c>
      <c r="BV175" s="70" t="s">
        <v>630</v>
      </c>
    </row>
    <row r="176" spans="1:74" x14ac:dyDescent="0.25">
      <c r="A176" s="92" t="s">
        <v>471</v>
      </c>
      <c r="B176" s="69" t="s">
        <v>631</v>
      </c>
      <c r="C176" s="306" t="s">
        <v>632</v>
      </c>
      <c r="D176" s="307"/>
      <c r="E176" s="69" t="s">
        <v>325</v>
      </c>
      <c r="F176" s="77">
        <v>1</v>
      </c>
      <c r="G176" s="218">
        <v>0</v>
      </c>
      <c r="H176" s="77">
        <f t="shared" si="0"/>
        <v>0</v>
      </c>
      <c r="I176" s="77">
        <f t="shared" si="1"/>
        <v>0</v>
      </c>
      <c r="J176" s="77">
        <f t="shared" si="2"/>
        <v>0</v>
      </c>
      <c r="K176" s="77">
        <v>7.7000000000000002E-3</v>
      </c>
      <c r="L176" s="77">
        <f t="shared" si="3"/>
        <v>7.7000000000000002E-3</v>
      </c>
      <c r="M176" s="103" t="s">
        <v>35</v>
      </c>
      <c r="X176" s="77">
        <f t="shared" si="4"/>
        <v>0</v>
      </c>
      <c r="Z176" s="77">
        <f t="shared" si="5"/>
        <v>0</v>
      </c>
      <c r="AA176" s="77">
        <f t="shared" si="6"/>
        <v>0</v>
      </c>
      <c r="AB176" s="77">
        <f t="shared" si="7"/>
        <v>0</v>
      </c>
      <c r="AC176" s="77">
        <f t="shared" si="8"/>
        <v>0</v>
      </c>
      <c r="AD176" s="77">
        <f t="shared" si="9"/>
        <v>0</v>
      </c>
      <c r="AE176" s="77">
        <f t="shared" si="10"/>
        <v>0</v>
      </c>
      <c r="AF176" s="77">
        <f t="shared" si="11"/>
        <v>0</v>
      </c>
      <c r="AG176" s="71" t="s">
        <v>129</v>
      </c>
      <c r="AH176" s="77">
        <f t="shared" si="12"/>
        <v>0</v>
      </c>
      <c r="AI176" s="77">
        <f t="shared" si="13"/>
        <v>0</v>
      </c>
      <c r="AJ176" s="77">
        <f t="shared" si="14"/>
        <v>0</v>
      </c>
      <c r="AL176" s="77">
        <v>21</v>
      </c>
      <c r="AM176" s="77">
        <f t="shared" si="15"/>
        <v>0</v>
      </c>
      <c r="AN176" s="77">
        <f t="shared" si="16"/>
        <v>0</v>
      </c>
      <c r="AO176" s="79" t="s">
        <v>130</v>
      </c>
      <c r="AT176" s="77">
        <f t="shared" si="17"/>
        <v>0</v>
      </c>
      <c r="AU176" s="77">
        <f t="shared" si="18"/>
        <v>0</v>
      </c>
      <c r="AV176" s="77">
        <f t="shared" si="19"/>
        <v>0</v>
      </c>
      <c r="AW176" s="79" t="s">
        <v>416</v>
      </c>
      <c r="AX176" s="79" t="s">
        <v>417</v>
      </c>
      <c r="AY176" s="71" t="s">
        <v>137</v>
      </c>
      <c r="BA176" s="77">
        <f t="shared" si="20"/>
        <v>0</v>
      </c>
      <c r="BB176" s="77">
        <f t="shared" si="21"/>
        <v>0</v>
      </c>
      <c r="BC176" s="77">
        <v>0</v>
      </c>
      <c r="BD176" s="77">
        <f t="shared" si="22"/>
        <v>7.7000000000000002E-3</v>
      </c>
      <c r="BF176" s="77">
        <f t="shared" si="23"/>
        <v>0</v>
      </c>
      <c r="BG176" s="77">
        <f t="shared" si="24"/>
        <v>0</v>
      </c>
      <c r="BH176" s="77">
        <f t="shared" si="25"/>
        <v>0</v>
      </c>
      <c r="BI176" s="77"/>
      <c r="BJ176" s="77"/>
      <c r="BU176" s="77" t="e">
        <f>#REF!</f>
        <v>#REF!</v>
      </c>
      <c r="BV176" s="70" t="s">
        <v>632</v>
      </c>
    </row>
    <row r="177" spans="1:74" x14ac:dyDescent="0.25">
      <c r="A177" s="92" t="s">
        <v>633</v>
      </c>
      <c r="B177" s="69" t="s">
        <v>634</v>
      </c>
      <c r="C177" s="306" t="s">
        <v>635</v>
      </c>
      <c r="D177" s="307"/>
      <c r="E177" s="69" t="s">
        <v>482</v>
      </c>
      <c r="F177" s="77">
        <v>1</v>
      </c>
      <c r="G177" s="218">
        <v>0</v>
      </c>
      <c r="H177" s="77">
        <f t="shared" si="0"/>
        <v>0</v>
      </c>
      <c r="I177" s="77">
        <f t="shared" si="1"/>
        <v>0</v>
      </c>
      <c r="J177" s="77">
        <f t="shared" si="2"/>
        <v>0</v>
      </c>
      <c r="K177" s="77">
        <v>1.9400000000000001E-2</v>
      </c>
      <c r="L177" s="77">
        <f t="shared" si="3"/>
        <v>1.9400000000000001E-2</v>
      </c>
      <c r="M177" s="103" t="s">
        <v>35</v>
      </c>
      <c r="X177" s="77">
        <f t="shared" si="4"/>
        <v>0</v>
      </c>
      <c r="Z177" s="77">
        <f t="shared" si="5"/>
        <v>0</v>
      </c>
      <c r="AA177" s="77">
        <f t="shared" si="6"/>
        <v>0</v>
      </c>
      <c r="AB177" s="77">
        <f t="shared" si="7"/>
        <v>0</v>
      </c>
      <c r="AC177" s="77">
        <f t="shared" si="8"/>
        <v>0</v>
      </c>
      <c r="AD177" s="77">
        <f t="shared" si="9"/>
        <v>0</v>
      </c>
      <c r="AE177" s="77">
        <f t="shared" si="10"/>
        <v>0</v>
      </c>
      <c r="AF177" s="77">
        <f t="shared" si="11"/>
        <v>0</v>
      </c>
      <c r="AG177" s="71" t="s">
        <v>129</v>
      </c>
      <c r="AH177" s="77">
        <f t="shared" si="12"/>
        <v>0</v>
      </c>
      <c r="AI177" s="77">
        <f t="shared" si="13"/>
        <v>0</v>
      </c>
      <c r="AJ177" s="77">
        <f t="shared" si="14"/>
        <v>0</v>
      </c>
      <c r="AL177" s="77">
        <v>21</v>
      </c>
      <c r="AM177" s="77">
        <f t="shared" si="15"/>
        <v>0</v>
      </c>
      <c r="AN177" s="77">
        <f t="shared" si="16"/>
        <v>0</v>
      </c>
      <c r="AO177" s="79" t="s">
        <v>130</v>
      </c>
      <c r="AT177" s="77">
        <f t="shared" si="17"/>
        <v>0</v>
      </c>
      <c r="AU177" s="77">
        <f t="shared" si="18"/>
        <v>0</v>
      </c>
      <c r="AV177" s="77">
        <f t="shared" si="19"/>
        <v>0</v>
      </c>
      <c r="AW177" s="79" t="s">
        <v>416</v>
      </c>
      <c r="AX177" s="79" t="s">
        <v>417</v>
      </c>
      <c r="AY177" s="71" t="s">
        <v>137</v>
      </c>
      <c r="BA177" s="77">
        <f t="shared" si="20"/>
        <v>0</v>
      </c>
      <c r="BB177" s="77">
        <f t="shared" si="21"/>
        <v>0</v>
      </c>
      <c r="BC177" s="77">
        <v>0</v>
      </c>
      <c r="BD177" s="77">
        <f t="shared" si="22"/>
        <v>1.9400000000000001E-2</v>
      </c>
      <c r="BF177" s="77">
        <f t="shared" si="23"/>
        <v>0</v>
      </c>
      <c r="BG177" s="77">
        <f t="shared" si="24"/>
        <v>0</v>
      </c>
      <c r="BH177" s="77">
        <f t="shared" si="25"/>
        <v>0</v>
      </c>
      <c r="BI177" s="77"/>
      <c r="BJ177" s="77"/>
      <c r="BU177" s="77" t="e">
        <f>#REF!</f>
        <v>#REF!</v>
      </c>
      <c r="BV177" s="70" t="s">
        <v>635</v>
      </c>
    </row>
    <row r="178" spans="1:74" x14ac:dyDescent="0.25">
      <c r="A178" s="92" t="s">
        <v>636</v>
      </c>
      <c r="B178" s="69" t="s">
        <v>637</v>
      </c>
      <c r="C178" s="306" t="s">
        <v>638</v>
      </c>
      <c r="D178" s="307"/>
      <c r="E178" s="69" t="s">
        <v>482</v>
      </c>
      <c r="F178" s="77">
        <v>1</v>
      </c>
      <c r="G178" s="218">
        <v>0</v>
      </c>
      <c r="H178" s="77">
        <f t="shared" si="0"/>
        <v>0</v>
      </c>
      <c r="I178" s="77">
        <f t="shared" si="1"/>
        <v>0</v>
      </c>
      <c r="J178" s="77">
        <f t="shared" si="2"/>
        <v>0</v>
      </c>
      <c r="K178" s="77">
        <v>0</v>
      </c>
      <c r="L178" s="77">
        <f t="shared" si="3"/>
        <v>0</v>
      </c>
      <c r="M178" s="103" t="s">
        <v>35</v>
      </c>
      <c r="X178" s="77">
        <f t="shared" si="4"/>
        <v>0</v>
      </c>
      <c r="Z178" s="77">
        <f t="shared" si="5"/>
        <v>0</v>
      </c>
      <c r="AA178" s="77">
        <f t="shared" si="6"/>
        <v>0</v>
      </c>
      <c r="AB178" s="77">
        <f t="shared" si="7"/>
        <v>0</v>
      </c>
      <c r="AC178" s="77">
        <f t="shared" si="8"/>
        <v>0</v>
      </c>
      <c r="AD178" s="77">
        <f t="shared" si="9"/>
        <v>0</v>
      </c>
      <c r="AE178" s="77">
        <f t="shared" si="10"/>
        <v>0</v>
      </c>
      <c r="AF178" s="77">
        <f t="shared" si="11"/>
        <v>0</v>
      </c>
      <c r="AG178" s="71" t="s">
        <v>129</v>
      </c>
      <c r="AH178" s="77">
        <f t="shared" si="12"/>
        <v>0</v>
      </c>
      <c r="AI178" s="77">
        <f t="shared" si="13"/>
        <v>0</v>
      </c>
      <c r="AJ178" s="77">
        <f t="shared" si="14"/>
        <v>0</v>
      </c>
      <c r="AL178" s="77">
        <v>21</v>
      </c>
      <c r="AM178" s="77">
        <f t="shared" si="15"/>
        <v>0</v>
      </c>
      <c r="AN178" s="77">
        <f t="shared" si="16"/>
        <v>0</v>
      </c>
      <c r="AO178" s="79" t="s">
        <v>130</v>
      </c>
      <c r="AT178" s="77">
        <f t="shared" si="17"/>
        <v>0</v>
      </c>
      <c r="AU178" s="77">
        <f t="shared" si="18"/>
        <v>0</v>
      </c>
      <c r="AV178" s="77">
        <f t="shared" si="19"/>
        <v>0</v>
      </c>
      <c r="AW178" s="79" t="s">
        <v>416</v>
      </c>
      <c r="AX178" s="79" t="s">
        <v>417</v>
      </c>
      <c r="AY178" s="71" t="s">
        <v>137</v>
      </c>
      <c r="BA178" s="77">
        <f t="shared" si="20"/>
        <v>0</v>
      </c>
      <c r="BB178" s="77">
        <f t="shared" si="21"/>
        <v>0</v>
      </c>
      <c r="BC178" s="77">
        <v>0</v>
      </c>
      <c r="BD178" s="77">
        <f t="shared" si="22"/>
        <v>0</v>
      </c>
      <c r="BF178" s="77">
        <f t="shared" si="23"/>
        <v>0</v>
      </c>
      <c r="BG178" s="77">
        <f t="shared" si="24"/>
        <v>0</v>
      </c>
      <c r="BH178" s="77">
        <f t="shared" si="25"/>
        <v>0</v>
      </c>
      <c r="BI178" s="77"/>
      <c r="BJ178" s="77"/>
      <c r="BU178" s="77" t="e">
        <f>#REF!</f>
        <v>#REF!</v>
      </c>
      <c r="BV178" s="70" t="s">
        <v>638</v>
      </c>
    </row>
    <row r="179" spans="1:74" x14ac:dyDescent="0.25">
      <c r="A179" s="92" t="s">
        <v>639</v>
      </c>
      <c r="B179" s="69" t="s">
        <v>640</v>
      </c>
      <c r="C179" s="306" t="s">
        <v>641</v>
      </c>
      <c r="D179" s="307"/>
      <c r="E179" s="69" t="s">
        <v>482</v>
      </c>
      <c r="F179" s="77">
        <v>1</v>
      </c>
      <c r="G179" s="218">
        <v>0</v>
      </c>
      <c r="H179" s="77">
        <f t="shared" si="0"/>
        <v>0</v>
      </c>
      <c r="I179" s="77">
        <f t="shared" si="1"/>
        <v>0</v>
      </c>
      <c r="J179" s="77">
        <f t="shared" si="2"/>
        <v>0</v>
      </c>
      <c r="K179" s="77">
        <v>9.4999999999999998E-3</v>
      </c>
      <c r="L179" s="77">
        <f t="shared" si="3"/>
        <v>9.4999999999999998E-3</v>
      </c>
      <c r="M179" s="103" t="s">
        <v>35</v>
      </c>
      <c r="X179" s="77">
        <f t="shared" si="4"/>
        <v>0</v>
      </c>
      <c r="Z179" s="77">
        <f t="shared" si="5"/>
        <v>0</v>
      </c>
      <c r="AA179" s="77">
        <f t="shared" si="6"/>
        <v>0</v>
      </c>
      <c r="AB179" s="77">
        <f t="shared" si="7"/>
        <v>0</v>
      </c>
      <c r="AC179" s="77">
        <f t="shared" si="8"/>
        <v>0</v>
      </c>
      <c r="AD179" s="77">
        <f t="shared" si="9"/>
        <v>0</v>
      </c>
      <c r="AE179" s="77">
        <f t="shared" si="10"/>
        <v>0</v>
      </c>
      <c r="AF179" s="77">
        <f t="shared" si="11"/>
        <v>0</v>
      </c>
      <c r="AG179" s="71" t="s">
        <v>129</v>
      </c>
      <c r="AH179" s="77">
        <f t="shared" si="12"/>
        <v>0</v>
      </c>
      <c r="AI179" s="77">
        <f t="shared" si="13"/>
        <v>0</v>
      </c>
      <c r="AJ179" s="77">
        <f t="shared" si="14"/>
        <v>0</v>
      </c>
      <c r="AL179" s="77">
        <v>21</v>
      </c>
      <c r="AM179" s="77">
        <f t="shared" si="15"/>
        <v>0</v>
      </c>
      <c r="AN179" s="77">
        <f t="shared" si="16"/>
        <v>0</v>
      </c>
      <c r="AO179" s="79" t="s">
        <v>130</v>
      </c>
      <c r="AT179" s="77">
        <f t="shared" si="17"/>
        <v>0</v>
      </c>
      <c r="AU179" s="77">
        <f t="shared" si="18"/>
        <v>0</v>
      </c>
      <c r="AV179" s="77">
        <f t="shared" si="19"/>
        <v>0</v>
      </c>
      <c r="AW179" s="79" t="s">
        <v>416</v>
      </c>
      <c r="AX179" s="79" t="s">
        <v>417</v>
      </c>
      <c r="AY179" s="71" t="s">
        <v>137</v>
      </c>
      <c r="BA179" s="77">
        <f t="shared" si="20"/>
        <v>0</v>
      </c>
      <c r="BB179" s="77">
        <f t="shared" si="21"/>
        <v>0</v>
      </c>
      <c r="BC179" s="77">
        <v>0</v>
      </c>
      <c r="BD179" s="77">
        <f t="shared" si="22"/>
        <v>9.4999999999999998E-3</v>
      </c>
      <c r="BF179" s="77">
        <f t="shared" si="23"/>
        <v>0</v>
      </c>
      <c r="BG179" s="77">
        <f t="shared" si="24"/>
        <v>0</v>
      </c>
      <c r="BH179" s="77">
        <f t="shared" si="25"/>
        <v>0</v>
      </c>
      <c r="BI179" s="77"/>
      <c r="BJ179" s="77"/>
      <c r="BU179" s="77" t="e">
        <f>#REF!</f>
        <v>#REF!</v>
      </c>
      <c r="BV179" s="70" t="s">
        <v>641</v>
      </c>
    </row>
    <row r="180" spans="1:74" x14ac:dyDescent="0.25">
      <c r="A180" s="92" t="s">
        <v>642</v>
      </c>
      <c r="B180" s="69" t="s">
        <v>643</v>
      </c>
      <c r="C180" s="306" t="s">
        <v>644</v>
      </c>
      <c r="D180" s="307"/>
      <c r="E180" s="69" t="s">
        <v>482</v>
      </c>
      <c r="F180" s="77">
        <v>1</v>
      </c>
      <c r="G180" s="218">
        <v>0</v>
      </c>
      <c r="H180" s="77">
        <f t="shared" si="0"/>
        <v>0</v>
      </c>
      <c r="I180" s="77">
        <f t="shared" si="1"/>
        <v>0</v>
      </c>
      <c r="J180" s="77">
        <f t="shared" si="2"/>
        <v>0</v>
      </c>
      <c r="K180" s="77">
        <v>0</v>
      </c>
      <c r="L180" s="77">
        <f t="shared" si="3"/>
        <v>0</v>
      </c>
      <c r="M180" s="103" t="s">
        <v>35</v>
      </c>
      <c r="X180" s="77">
        <f t="shared" si="4"/>
        <v>0</v>
      </c>
      <c r="Z180" s="77">
        <f t="shared" si="5"/>
        <v>0</v>
      </c>
      <c r="AA180" s="77">
        <f t="shared" si="6"/>
        <v>0</v>
      </c>
      <c r="AB180" s="77">
        <f t="shared" si="7"/>
        <v>0</v>
      </c>
      <c r="AC180" s="77">
        <f t="shared" si="8"/>
        <v>0</v>
      </c>
      <c r="AD180" s="77">
        <f t="shared" si="9"/>
        <v>0</v>
      </c>
      <c r="AE180" s="77">
        <f t="shared" si="10"/>
        <v>0</v>
      </c>
      <c r="AF180" s="77">
        <f t="shared" si="11"/>
        <v>0</v>
      </c>
      <c r="AG180" s="71" t="s">
        <v>129</v>
      </c>
      <c r="AH180" s="77">
        <f t="shared" si="12"/>
        <v>0</v>
      </c>
      <c r="AI180" s="77">
        <f t="shared" si="13"/>
        <v>0</v>
      </c>
      <c r="AJ180" s="77">
        <f t="shared" si="14"/>
        <v>0</v>
      </c>
      <c r="AL180" s="77">
        <v>21</v>
      </c>
      <c r="AM180" s="77">
        <f t="shared" si="15"/>
        <v>0</v>
      </c>
      <c r="AN180" s="77">
        <f t="shared" si="16"/>
        <v>0</v>
      </c>
      <c r="AO180" s="79" t="s">
        <v>130</v>
      </c>
      <c r="AT180" s="77">
        <f t="shared" si="17"/>
        <v>0</v>
      </c>
      <c r="AU180" s="77">
        <f t="shared" si="18"/>
        <v>0</v>
      </c>
      <c r="AV180" s="77">
        <f t="shared" si="19"/>
        <v>0</v>
      </c>
      <c r="AW180" s="79" t="s">
        <v>416</v>
      </c>
      <c r="AX180" s="79" t="s">
        <v>417</v>
      </c>
      <c r="AY180" s="71" t="s">
        <v>137</v>
      </c>
      <c r="BA180" s="77">
        <f t="shared" si="20"/>
        <v>0</v>
      </c>
      <c r="BB180" s="77">
        <f t="shared" si="21"/>
        <v>0</v>
      </c>
      <c r="BC180" s="77">
        <v>0</v>
      </c>
      <c r="BD180" s="77">
        <f t="shared" si="22"/>
        <v>0</v>
      </c>
      <c r="BF180" s="77">
        <f t="shared" si="23"/>
        <v>0</v>
      </c>
      <c r="BG180" s="77">
        <f t="shared" si="24"/>
        <v>0</v>
      </c>
      <c r="BH180" s="77">
        <f t="shared" si="25"/>
        <v>0</v>
      </c>
      <c r="BI180" s="77"/>
      <c r="BJ180" s="77"/>
      <c r="BU180" s="77" t="e">
        <f>#REF!</f>
        <v>#REF!</v>
      </c>
      <c r="BV180" s="70" t="s">
        <v>644</v>
      </c>
    </row>
    <row r="181" spans="1:74" x14ac:dyDescent="0.25">
      <c r="A181" s="92" t="s">
        <v>645</v>
      </c>
      <c r="B181" s="69" t="s">
        <v>646</v>
      </c>
      <c r="C181" s="306" t="s">
        <v>647</v>
      </c>
      <c r="D181" s="307"/>
      <c r="E181" s="69" t="s">
        <v>482</v>
      </c>
      <c r="F181" s="77">
        <v>1</v>
      </c>
      <c r="G181" s="218">
        <v>0</v>
      </c>
      <c r="H181" s="77">
        <f t="shared" si="0"/>
        <v>0</v>
      </c>
      <c r="I181" s="77">
        <f t="shared" si="1"/>
        <v>0</v>
      </c>
      <c r="J181" s="77">
        <f t="shared" si="2"/>
        <v>0</v>
      </c>
      <c r="K181" s="77">
        <v>0</v>
      </c>
      <c r="L181" s="77">
        <f t="shared" si="3"/>
        <v>0</v>
      </c>
      <c r="M181" s="103" t="s">
        <v>35</v>
      </c>
      <c r="X181" s="77">
        <f t="shared" si="4"/>
        <v>0</v>
      </c>
      <c r="Z181" s="77">
        <f t="shared" si="5"/>
        <v>0</v>
      </c>
      <c r="AA181" s="77">
        <f t="shared" si="6"/>
        <v>0</v>
      </c>
      <c r="AB181" s="77">
        <f t="shared" si="7"/>
        <v>0</v>
      </c>
      <c r="AC181" s="77">
        <f t="shared" si="8"/>
        <v>0</v>
      </c>
      <c r="AD181" s="77">
        <f t="shared" si="9"/>
        <v>0</v>
      </c>
      <c r="AE181" s="77">
        <f t="shared" si="10"/>
        <v>0</v>
      </c>
      <c r="AF181" s="77">
        <f t="shared" si="11"/>
        <v>0</v>
      </c>
      <c r="AG181" s="71" t="s">
        <v>129</v>
      </c>
      <c r="AH181" s="77">
        <f t="shared" si="12"/>
        <v>0</v>
      </c>
      <c r="AI181" s="77">
        <f t="shared" si="13"/>
        <v>0</v>
      </c>
      <c r="AJ181" s="77">
        <f t="shared" si="14"/>
        <v>0</v>
      </c>
      <c r="AL181" s="77">
        <v>21</v>
      </c>
      <c r="AM181" s="77">
        <f t="shared" si="15"/>
        <v>0</v>
      </c>
      <c r="AN181" s="77">
        <f t="shared" si="16"/>
        <v>0</v>
      </c>
      <c r="AO181" s="79" t="s">
        <v>130</v>
      </c>
      <c r="AT181" s="77">
        <f t="shared" si="17"/>
        <v>0</v>
      </c>
      <c r="AU181" s="77">
        <f t="shared" si="18"/>
        <v>0</v>
      </c>
      <c r="AV181" s="77">
        <f t="shared" si="19"/>
        <v>0</v>
      </c>
      <c r="AW181" s="79" t="s">
        <v>416</v>
      </c>
      <c r="AX181" s="79" t="s">
        <v>417</v>
      </c>
      <c r="AY181" s="71" t="s">
        <v>137</v>
      </c>
      <c r="BA181" s="77">
        <f t="shared" si="20"/>
        <v>0</v>
      </c>
      <c r="BB181" s="77">
        <f t="shared" si="21"/>
        <v>0</v>
      </c>
      <c r="BC181" s="77">
        <v>0</v>
      </c>
      <c r="BD181" s="77">
        <f t="shared" si="22"/>
        <v>0</v>
      </c>
      <c r="BF181" s="77">
        <f t="shared" si="23"/>
        <v>0</v>
      </c>
      <c r="BG181" s="77">
        <f t="shared" si="24"/>
        <v>0</v>
      </c>
      <c r="BH181" s="77">
        <f t="shared" si="25"/>
        <v>0</v>
      </c>
      <c r="BI181" s="77"/>
      <c r="BJ181" s="77"/>
      <c r="BU181" s="77" t="e">
        <f>#REF!</f>
        <v>#REF!</v>
      </c>
      <c r="BV181" s="70" t="s">
        <v>647</v>
      </c>
    </row>
    <row r="182" spans="1:74" x14ac:dyDescent="0.25">
      <c r="A182" s="92" t="s">
        <v>648</v>
      </c>
      <c r="B182" s="69" t="s">
        <v>649</v>
      </c>
      <c r="C182" s="306" t="s">
        <v>650</v>
      </c>
      <c r="D182" s="307"/>
      <c r="E182" s="69" t="s">
        <v>482</v>
      </c>
      <c r="F182" s="77">
        <v>2</v>
      </c>
      <c r="G182" s="218">
        <v>0</v>
      </c>
      <c r="H182" s="77">
        <f t="shared" si="0"/>
        <v>0</v>
      </c>
      <c r="I182" s="77">
        <f t="shared" si="1"/>
        <v>0</v>
      </c>
      <c r="J182" s="77">
        <f t="shared" si="2"/>
        <v>0</v>
      </c>
      <c r="K182" s="77">
        <v>9.7000000000000003E-3</v>
      </c>
      <c r="L182" s="77">
        <f t="shared" si="3"/>
        <v>1.9400000000000001E-2</v>
      </c>
      <c r="M182" s="103" t="s">
        <v>35</v>
      </c>
      <c r="X182" s="77">
        <f t="shared" si="4"/>
        <v>0</v>
      </c>
      <c r="Z182" s="77">
        <f t="shared" si="5"/>
        <v>0</v>
      </c>
      <c r="AA182" s="77">
        <f t="shared" si="6"/>
        <v>0</v>
      </c>
      <c r="AB182" s="77">
        <f t="shared" si="7"/>
        <v>0</v>
      </c>
      <c r="AC182" s="77">
        <f t="shared" si="8"/>
        <v>0</v>
      </c>
      <c r="AD182" s="77">
        <f t="shared" si="9"/>
        <v>0</v>
      </c>
      <c r="AE182" s="77">
        <f t="shared" si="10"/>
        <v>0</v>
      </c>
      <c r="AF182" s="77">
        <f t="shared" si="11"/>
        <v>0</v>
      </c>
      <c r="AG182" s="71" t="s">
        <v>129</v>
      </c>
      <c r="AH182" s="77">
        <f t="shared" si="12"/>
        <v>0</v>
      </c>
      <c r="AI182" s="77">
        <f t="shared" si="13"/>
        <v>0</v>
      </c>
      <c r="AJ182" s="77">
        <f t="shared" si="14"/>
        <v>0</v>
      </c>
      <c r="AL182" s="77">
        <v>21</v>
      </c>
      <c r="AM182" s="77">
        <f t="shared" si="15"/>
        <v>0</v>
      </c>
      <c r="AN182" s="77">
        <f t="shared" si="16"/>
        <v>0</v>
      </c>
      <c r="AO182" s="79" t="s">
        <v>130</v>
      </c>
      <c r="AT182" s="77">
        <f t="shared" si="17"/>
        <v>0</v>
      </c>
      <c r="AU182" s="77">
        <f t="shared" si="18"/>
        <v>0</v>
      </c>
      <c r="AV182" s="77">
        <f t="shared" si="19"/>
        <v>0</v>
      </c>
      <c r="AW182" s="79" t="s">
        <v>416</v>
      </c>
      <c r="AX182" s="79" t="s">
        <v>417</v>
      </c>
      <c r="AY182" s="71" t="s">
        <v>137</v>
      </c>
      <c r="BA182" s="77">
        <f t="shared" si="20"/>
        <v>0</v>
      </c>
      <c r="BB182" s="77">
        <f t="shared" si="21"/>
        <v>0</v>
      </c>
      <c r="BC182" s="77">
        <v>0</v>
      </c>
      <c r="BD182" s="77">
        <f t="shared" si="22"/>
        <v>1.9400000000000001E-2</v>
      </c>
      <c r="BF182" s="77">
        <f t="shared" si="23"/>
        <v>0</v>
      </c>
      <c r="BG182" s="77">
        <f t="shared" si="24"/>
        <v>0</v>
      </c>
      <c r="BH182" s="77">
        <f t="shared" si="25"/>
        <v>0</v>
      </c>
      <c r="BI182" s="77"/>
      <c r="BJ182" s="77"/>
      <c r="BU182" s="77" t="e">
        <f>#REF!</f>
        <v>#REF!</v>
      </c>
      <c r="BV182" s="70" t="s">
        <v>650</v>
      </c>
    </row>
    <row r="183" spans="1:74" x14ac:dyDescent="0.25">
      <c r="A183" s="92" t="s">
        <v>651</v>
      </c>
      <c r="B183" s="69" t="s">
        <v>652</v>
      </c>
      <c r="C183" s="306" t="s">
        <v>653</v>
      </c>
      <c r="D183" s="307"/>
      <c r="E183" s="69" t="s">
        <v>325</v>
      </c>
      <c r="F183" s="77">
        <v>3</v>
      </c>
      <c r="G183" s="218">
        <v>0</v>
      </c>
      <c r="H183" s="77">
        <f t="shared" si="0"/>
        <v>0</v>
      </c>
      <c r="I183" s="77">
        <f t="shared" si="1"/>
        <v>0</v>
      </c>
      <c r="J183" s="77">
        <f t="shared" si="2"/>
        <v>0</v>
      </c>
      <c r="K183" s="77">
        <v>1.7000000000000001E-2</v>
      </c>
      <c r="L183" s="77">
        <f t="shared" si="3"/>
        <v>5.1000000000000004E-2</v>
      </c>
      <c r="M183" s="103" t="s">
        <v>35</v>
      </c>
      <c r="X183" s="77">
        <f t="shared" si="4"/>
        <v>0</v>
      </c>
      <c r="Z183" s="77">
        <f t="shared" si="5"/>
        <v>0</v>
      </c>
      <c r="AA183" s="77">
        <f t="shared" si="6"/>
        <v>0</v>
      </c>
      <c r="AB183" s="77">
        <f t="shared" si="7"/>
        <v>0</v>
      </c>
      <c r="AC183" s="77">
        <f t="shared" si="8"/>
        <v>0</v>
      </c>
      <c r="AD183" s="77">
        <f t="shared" si="9"/>
        <v>0</v>
      </c>
      <c r="AE183" s="77">
        <f t="shared" si="10"/>
        <v>0</v>
      </c>
      <c r="AF183" s="77">
        <f t="shared" si="11"/>
        <v>0</v>
      </c>
      <c r="AG183" s="71" t="s">
        <v>129</v>
      </c>
      <c r="AH183" s="77">
        <f t="shared" si="12"/>
        <v>0</v>
      </c>
      <c r="AI183" s="77">
        <f t="shared" si="13"/>
        <v>0</v>
      </c>
      <c r="AJ183" s="77">
        <f t="shared" si="14"/>
        <v>0</v>
      </c>
      <c r="AL183" s="77">
        <v>21</v>
      </c>
      <c r="AM183" s="77">
        <f t="shared" si="15"/>
        <v>0</v>
      </c>
      <c r="AN183" s="77">
        <f t="shared" si="16"/>
        <v>0</v>
      </c>
      <c r="AO183" s="79" t="s">
        <v>130</v>
      </c>
      <c r="AT183" s="77">
        <f t="shared" si="17"/>
        <v>0</v>
      </c>
      <c r="AU183" s="77">
        <f t="shared" si="18"/>
        <v>0</v>
      </c>
      <c r="AV183" s="77">
        <f t="shared" si="19"/>
        <v>0</v>
      </c>
      <c r="AW183" s="79" t="s">
        <v>416</v>
      </c>
      <c r="AX183" s="79" t="s">
        <v>417</v>
      </c>
      <c r="AY183" s="71" t="s">
        <v>137</v>
      </c>
      <c r="BA183" s="77">
        <f t="shared" si="20"/>
        <v>0</v>
      </c>
      <c r="BB183" s="77">
        <f t="shared" si="21"/>
        <v>0</v>
      </c>
      <c r="BC183" s="77">
        <v>0</v>
      </c>
      <c r="BD183" s="77">
        <f t="shared" si="22"/>
        <v>5.1000000000000004E-2</v>
      </c>
      <c r="BF183" s="77">
        <f t="shared" si="23"/>
        <v>0</v>
      </c>
      <c r="BG183" s="77">
        <f t="shared" si="24"/>
        <v>0</v>
      </c>
      <c r="BH183" s="77">
        <f t="shared" si="25"/>
        <v>0</v>
      </c>
      <c r="BI183" s="77"/>
      <c r="BJ183" s="77"/>
      <c r="BU183" s="77" t="e">
        <f>#REF!</f>
        <v>#REF!</v>
      </c>
      <c r="BV183" s="70" t="s">
        <v>653</v>
      </c>
    </row>
    <row r="184" spans="1:74" x14ac:dyDescent="0.25">
      <c r="A184" s="92" t="s">
        <v>654</v>
      </c>
      <c r="B184" s="69" t="s">
        <v>655</v>
      </c>
      <c r="C184" s="306" t="s">
        <v>656</v>
      </c>
      <c r="D184" s="307"/>
      <c r="E184" s="69" t="s">
        <v>325</v>
      </c>
      <c r="F184" s="77">
        <v>1</v>
      </c>
      <c r="G184" s="218">
        <v>0</v>
      </c>
      <c r="H184" s="77">
        <f t="shared" si="0"/>
        <v>0</v>
      </c>
      <c r="I184" s="77">
        <f t="shared" si="1"/>
        <v>0</v>
      </c>
      <c r="J184" s="77">
        <f t="shared" si="2"/>
        <v>0</v>
      </c>
      <c r="K184" s="77">
        <v>1.4999999999999999E-2</v>
      </c>
      <c r="L184" s="77">
        <f t="shared" si="3"/>
        <v>1.4999999999999999E-2</v>
      </c>
      <c r="M184" s="103" t="s">
        <v>35</v>
      </c>
      <c r="X184" s="77">
        <f t="shared" si="4"/>
        <v>0</v>
      </c>
      <c r="Z184" s="77">
        <f t="shared" si="5"/>
        <v>0</v>
      </c>
      <c r="AA184" s="77">
        <f t="shared" si="6"/>
        <v>0</v>
      </c>
      <c r="AB184" s="77">
        <f t="shared" si="7"/>
        <v>0</v>
      </c>
      <c r="AC184" s="77">
        <f t="shared" si="8"/>
        <v>0</v>
      </c>
      <c r="AD184" s="77">
        <f t="shared" si="9"/>
        <v>0</v>
      </c>
      <c r="AE184" s="77">
        <f t="shared" si="10"/>
        <v>0</v>
      </c>
      <c r="AF184" s="77">
        <f t="shared" si="11"/>
        <v>0</v>
      </c>
      <c r="AG184" s="71" t="s">
        <v>129</v>
      </c>
      <c r="AH184" s="77">
        <f t="shared" si="12"/>
        <v>0</v>
      </c>
      <c r="AI184" s="77">
        <f t="shared" si="13"/>
        <v>0</v>
      </c>
      <c r="AJ184" s="77">
        <f t="shared" si="14"/>
        <v>0</v>
      </c>
      <c r="AL184" s="77">
        <v>21</v>
      </c>
      <c r="AM184" s="77">
        <f t="shared" si="15"/>
        <v>0</v>
      </c>
      <c r="AN184" s="77">
        <f t="shared" si="16"/>
        <v>0</v>
      </c>
      <c r="AO184" s="79" t="s">
        <v>130</v>
      </c>
      <c r="AT184" s="77">
        <f t="shared" si="17"/>
        <v>0</v>
      </c>
      <c r="AU184" s="77">
        <f t="shared" si="18"/>
        <v>0</v>
      </c>
      <c r="AV184" s="77">
        <f t="shared" si="19"/>
        <v>0</v>
      </c>
      <c r="AW184" s="79" t="s">
        <v>416</v>
      </c>
      <c r="AX184" s="79" t="s">
        <v>417</v>
      </c>
      <c r="AY184" s="71" t="s">
        <v>137</v>
      </c>
      <c r="BA184" s="77">
        <f t="shared" si="20"/>
        <v>0</v>
      </c>
      <c r="BB184" s="77">
        <f t="shared" si="21"/>
        <v>0</v>
      </c>
      <c r="BC184" s="77">
        <v>0</v>
      </c>
      <c r="BD184" s="77">
        <f t="shared" si="22"/>
        <v>1.4999999999999999E-2</v>
      </c>
      <c r="BF184" s="77">
        <f t="shared" si="23"/>
        <v>0</v>
      </c>
      <c r="BG184" s="77">
        <f t="shared" si="24"/>
        <v>0</v>
      </c>
      <c r="BH184" s="77">
        <f t="shared" si="25"/>
        <v>0</v>
      </c>
      <c r="BI184" s="77"/>
      <c r="BJ184" s="77"/>
      <c r="BU184" s="77" t="e">
        <f>#REF!</f>
        <v>#REF!</v>
      </c>
      <c r="BV184" s="70" t="s">
        <v>656</v>
      </c>
    </row>
    <row r="185" spans="1:74" x14ac:dyDescent="0.25">
      <c r="A185" s="92" t="s">
        <v>531</v>
      </c>
      <c r="B185" s="69" t="s">
        <v>657</v>
      </c>
      <c r="C185" s="306" t="s">
        <v>658</v>
      </c>
      <c r="D185" s="307"/>
      <c r="E185" s="69" t="s">
        <v>482</v>
      </c>
      <c r="F185" s="77">
        <v>4</v>
      </c>
      <c r="G185" s="218">
        <v>0</v>
      </c>
      <c r="H185" s="77">
        <f t="shared" si="0"/>
        <v>0</v>
      </c>
      <c r="I185" s="77">
        <f t="shared" si="1"/>
        <v>0</v>
      </c>
      <c r="J185" s="77">
        <f t="shared" si="2"/>
        <v>0</v>
      </c>
      <c r="K185" s="77">
        <v>1.1999999999999999E-3</v>
      </c>
      <c r="L185" s="77">
        <f t="shared" si="3"/>
        <v>4.7999999999999996E-3</v>
      </c>
      <c r="M185" s="103" t="s">
        <v>35</v>
      </c>
      <c r="X185" s="77">
        <f t="shared" si="4"/>
        <v>0</v>
      </c>
      <c r="Z185" s="77">
        <f t="shared" si="5"/>
        <v>0</v>
      </c>
      <c r="AA185" s="77">
        <f t="shared" si="6"/>
        <v>0</v>
      </c>
      <c r="AB185" s="77">
        <f t="shared" si="7"/>
        <v>0</v>
      </c>
      <c r="AC185" s="77">
        <f t="shared" si="8"/>
        <v>0</v>
      </c>
      <c r="AD185" s="77">
        <f t="shared" si="9"/>
        <v>0</v>
      </c>
      <c r="AE185" s="77">
        <f t="shared" si="10"/>
        <v>0</v>
      </c>
      <c r="AF185" s="77">
        <f t="shared" si="11"/>
        <v>0</v>
      </c>
      <c r="AG185" s="71" t="s">
        <v>129</v>
      </c>
      <c r="AH185" s="77">
        <f t="shared" si="12"/>
        <v>0</v>
      </c>
      <c r="AI185" s="77">
        <f t="shared" si="13"/>
        <v>0</v>
      </c>
      <c r="AJ185" s="77">
        <f t="shared" si="14"/>
        <v>0</v>
      </c>
      <c r="AL185" s="77">
        <v>21</v>
      </c>
      <c r="AM185" s="77">
        <f t="shared" si="15"/>
        <v>0</v>
      </c>
      <c r="AN185" s="77">
        <f t="shared" si="16"/>
        <v>0</v>
      </c>
      <c r="AO185" s="79" t="s">
        <v>130</v>
      </c>
      <c r="AT185" s="77">
        <f t="shared" si="17"/>
        <v>0</v>
      </c>
      <c r="AU185" s="77">
        <f t="shared" si="18"/>
        <v>0</v>
      </c>
      <c r="AV185" s="77">
        <f t="shared" si="19"/>
        <v>0</v>
      </c>
      <c r="AW185" s="79" t="s">
        <v>416</v>
      </c>
      <c r="AX185" s="79" t="s">
        <v>417</v>
      </c>
      <c r="AY185" s="71" t="s">
        <v>137</v>
      </c>
      <c r="BA185" s="77">
        <f t="shared" si="20"/>
        <v>0</v>
      </c>
      <c r="BB185" s="77">
        <f t="shared" si="21"/>
        <v>0</v>
      </c>
      <c r="BC185" s="77">
        <v>0</v>
      </c>
      <c r="BD185" s="77">
        <f t="shared" si="22"/>
        <v>4.7999999999999996E-3</v>
      </c>
      <c r="BF185" s="77">
        <f t="shared" si="23"/>
        <v>0</v>
      </c>
      <c r="BG185" s="77">
        <f t="shared" si="24"/>
        <v>0</v>
      </c>
      <c r="BH185" s="77">
        <f t="shared" si="25"/>
        <v>0</v>
      </c>
      <c r="BI185" s="77"/>
      <c r="BJ185" s="77"/>
      <c r="BU185" s="77" t="e">
        <f>#REF!</f>
        <v>#REF!</v>
      </c>
      <c r="BV185" s="70" t="s">
        <v>658</v>
      </c>
    </row>
    <row r="186" spans="1:74" x14ac:dyDescent="0.25">
      <c r="A186" s="92" t="s">
        <v>659</v>
      </c>
      <c r="B186" s="69" t="s">
        <v>660</v>
      </c>
      <c r="C186" s="306" t="s">
        <v>661</v>
      </c>
      <c r="D186" s="307"/>
      <c r="E186" s="69" t="s">
        <v>482</v>
      </c>
      <c r="F186" s="77">
        <v>4</v>
      </c>
      <c r="G186" s="218">
        <v>0</v>
      </c>
      <c r="H186" s="77">
        <f t="shared" si="0"/>
        <v>0</v>
      </c>
      <c r="I186" s="77">
        <f t="shared" si="1"/>
        <v>0</v>
      </c>
      <c r="J186" s="77">
        <f t="shared" si="2"/>
        <v>0</v>
      </c>
      <c r="K186" s="77">
        <v>2E-3</v>
      </c>
      <c r="L186" s="77">
        <f t="shared" si="3"/>
        <v>8.0000000000000002E-3</v>
      </c>
      <c r="M186" s="103" t="s">
        <v>35</v>
      </c>
      <c r="X186" s="77">
        <f t="shared" si="4"/>
        <v>0</v>
      </c>
      <c r="Z186" s="77">
        <f t="shared" si="5"/>
        <v>0</v>
      </c>
      <c r="AA186" s="77">
        <f t="shared" si="6"/>
        <v>0</v>
      </c>
      <c r="AB186" s="77">
        <f t="shared" si="7"/>
        <v>0</v>
      </c>
      <c r="AC186" s="77">
        <f t="shared" si="8"/>
        <v>0</v>
      </c>
      <c r="AD186" s="77">
        <f t="shared" si="9"/>
        <v>0</v>
      </c>
      <c r="AE186" s="77">
        <f t="shared" si="10"/>
        <v>0</v>
      </c>
      <c r="AF186" s="77">
        <f t="shared" si="11"/>
        <v>0</v>
      </c>
      <c r="AG186" s="71" t="s">
        <v>129</v>
      </c>
      <c r="AH186" s="77">
        <f t="shared" si="12"/>
        <v>0</v>
      </c>
      <c r="AI186" s="77">
        <f t="shared" si="13"/>
        <v>0</v>
      </c>
      <c r="AJ186" s="77">
        <f t="shared" si="14"/>
        <v>0</v>
      </c>
      <c r="AL186" s="77">
        <v>21</v>
      </c>
      <c r="AM186" s="77">
        <f t="shared" si="15"/>
        <v>0</v>
      </c>
      <c r="AN186" s="77">
        <f t="shared" si="16"/>
        <v>0</v>
      </c>
      <c r="AO186" s="79" t="s">
        <v>130</v>
      </c>
      <c r="AT186" s="77">
        <f t="shared" si="17"/>
        <v>0</v>
      </c>
      <c r="AU186" s="77">
        <f t="shared" si="18"/>
        <v>0</v>
      </c>
      <c r="AV186" s="77">
        <f t="shared" si="19"/>
        <v>0</v>
      </c>
      <c r="AW186" s="79" t="s">
        <v>416</v>
      </c>
      <c r="AX186" s="79" t="s">
        <v>417</v>
      </c>
      <c r="AY186" s="71" t="s">
        <v>137</v>
      </c>
      <c r="BA186" s="77">
        <f t="shared" si="20"/>
        <v>0</v>
      </c>
      <c r="BB186" s="77">
        <f t="shared" si="21"/>
        <v>0</v>
      </c>
      <c r="BC186" s="77">
        <v>0</v>
      </c>
      <c r="BD186" s="77">
        <f t="shared" si="22"/>
        <v>8.0000000000000002E-3</v>
      </c>
      <c r="BF186" s="77">
        <f t="shared" si="23"/>
        <v>0</v>
      </c>
      <c r="BG186" s="77">
        <f t="shared" si="24"/>
        <v>0</v>
      </c>
      <c r="BH186" s="77">
        <f t="shared" si="25"/>
        <v>0</v>
      </c>
      <c r="BI186" s="77"/>
      <c r="BJ186" s="77"/>
      <c r="BU186" s="77" t="e">
        <f>#REF!</f>
        <v>#REF!</v>
      </c>
      <c r="BV186" s="70" t="s">
        <v>661</v>
      </c>
    </row>
    <row r="187" spans="1:74" x14ac:dyDescent="0.25">
      <c r="A187" s="92" t="s">
        <v>314</v>
      </c>
      <c r="B187" s="69" t="s">
        <v>662</v>
      </c>
      <c r="C187" s="306" t="s">
        <v>663</v>
      </c>
      <c r="D187" s="307"/>
      <c r="E187" s="69" t="s">
        <v>482</v>
      </c>
      <c r="F187" s="77">
        <v>4</v>
      </c>
      <c r="G187" s="218">
        <v>0</v>
      </c>
      <c r="H187" s="77">
        <f t="shared" si="0"/>
        <v>0</v>
      </c>
      <c r="I187" s="77">
        <f t="shared" si="1"/>
        <v>0</v>
      </c>
      <c r="J187" s="77">
        <f t="shared" si="2"/>
        <v>0</v>
      </c>
      <c r="K187" s="77">
        <v>0</v>
      </c>
      <c r="L187" s="77">
        <f t="shared" si="3"/>
        <v>0</v>
      </c>
      <c r="M187" s="103" t="s">
        <v>35</v>
      </c>
      <c r="X187" s="77">
        <f t="shared" si="4"/>
        <v>0</v>
      </c>
      <c r="Z187" s="77">
        <f t="shared" si="5"/>
        <v>0</v>
      </c>
      <c r="AA187" s="77">
        <f t="shared" si="6"/>
        <v>0</v>
      </c>
      <c r="AB187" s="77">
        <f t="shared" si="7"/>
        <v>0</v>
      </c>
      <c r="AC187" s="77">
        <f t="shared" si="8"/>
        <v>0</v>
      </c>
      <c r="AD187" s="77">
        <f t="shared" si="9"/>
        <v>0</v>
      </c>
      <c r="AE187" s="77">
        <f t="shared" si="10"/>
        <v>0</v>
      </c>
      <c r="AF187" s="77">
        <f t="shared" si="11"/>
        <v>0</v>
      </c>
      <c r="AG187" s="71" t="s">
        <v>129</v>
      </c>
      <c r="AH187" s="77">
        <f t="shared" si="12"/>
        <v>0</v>
      </c>
      <c r="AI187" s="77">
        <f t="shared" si="13"/>
        <v>0</v>
      </c>
      <c r="AJ187" s="77">
        <f t="shared" si="14"/>
        <v>0</v>
      </c>
      <c r="AL187" s="77">
        <v>21</v>
      </c>
      <c r="AM187" s="77">
        <f t="shared" si="15"/>
        <v>0</v>
      </c>
      <c r="AN187" s="77">
        <f t="shared" si="16"/>
        <v>0</v>
      </c>
      <c r="AO187" s="79" t="s">
        <v>130</v>
      </c>
      <c r="AT187" s="77">
        <f t="shared" si="17"/>
        <v>0</v>
      </c>
      <c r="AU187" s="77">
        <f t="shared" si="18"/>
        <v>0</v>
      </c>
      <c r="AV187" s="77">
        <f t="shared" si="19"/>
        <v>0</v>
      </c>
      <c r="AW187" s="79" t="s">
        <v>416</v>
      </c>
      <c r="AX187" s="79" t="s">
        <v>417</v>
      </c>
      <c r="AY187" s="71" t="s">
        <v>137</v>
      </c>
      <c r="BA187" s="77">
        <f t="shared" si="20"/>
        <v>0</v>
      </c>
      <c r="BB187" s="77">
        <f t="shared" si="21"/>
        <v>0</v>
      </c>
      <c r="BC187" s="77">
        <v>0</v>
      </c>
      <c r="BD187" s="77">
        <f t="shared" si="22"/>
        <v>0</v>
      </c>
      <c r="BF187" s="77">
        <f t="shared" si="23"/>
        <v>0</v>
      </c>
      <c r="BG187" s="77">
        <f t="shared" si="24"/>
        <v>0</v>
      </c>
      <c r="BH187" s="77">
        <f t="shared" si="25"/>
        <v>0</v>
      </c>
      <c r="BI187" s="77"/>
      <c r="BJ187" s="77"/>
      <c r="BU187" s="77" t="e">
        <f>#REF!</f>
        <v>#REF!</v>
      </c>
      <c r="BV187" s="70" t="s">
        <v>663</v>
      </c>
    </row>
    <row r="188" spans="1:74" x14ac:dyDescent="0.25">
      <c r="A188" s="92" t="s">
        <v>664</v>
      </c>
      <c r="B188" s="69" t="s">
        <v>665</v>
      </c>
      <c r="C188" s="306" t="s">
        <v>666</v>
      </c>
      <c r="D188" s="307"/>
      <c r="E188" s="69" t="s">
        <v>482</v>
      </c>
      <c r="F188" s="77">
        <v>1</v>
      </c>
      <c r="G188" s="218">
        <v>0</v>
      </c>
      <c r="H188" s="77">
        <f t="shared" si="0"/>
        <v>0</v>
      </c>
      <c r="I188" s="77">
        <f t="shared" si="1"/>
        <v>0</v>
      </c>
      <c r="J188" s="77">
        <f t="shared" si="2"/>
        <v>0</v>
      </c>
      <c r="K188" s="77">
        <v>0</v>
      </c>
      <c r="L188" s="77">
        <f t="shared" si="3"/>
        <v>0</v>
      </c>
      <c r="M188" s="103" t="s">
        <v>35</v>
      </c>
      <c r="X188" s="77">
        <f t="shared" si="4"/>
        <v>0</v>
      </c>
      <c r="Z188" s="77">
        <f t="shared" si="5"/>
        <v>0</v>
      </c>
      <c r="AA188" s="77">
        <f t="shared" si="6"/>
        <v>0</v>
      </c>
      <c r="AB188" s="77">
        <f t="shared" si="7"/>
        <v>0</v>
      </c>
      <c r="AC188" s="77">
        <f t="shared" si="8"/>
        <v>0</v>
      </c>
      <c r="AD188" s="77">
        <f t="shared" si="9"/>
        <v>0</v>
      </c>
      <c r="AE188" s="77">
        <f t="shared" si="10"/>
        <v>0</v>
      </c>
      <c r="AF188" s="77">
        <f t="shared" si="11"/>
        <v>0</v>
      </c>
      <c r="AG188" s="71" t="s">
        <v>129</v>
      </c>
      <c r="AH188" s="77">
        <f t="shared" si="12"/>
        <v>0</v>
      </c>
      <c r="AI188" s="77">
        <f t="shared" si="13"/>
        <v>0</v>
      </c>
      <c r="AJ188" s="77">
        <f t="shared" si="14"/>
        <v>0</v>
      </c>
      <c r="AL188" s="77">
        <v>21</v>
      </c>
      <c r="AM188" s="77">
        <f t="shared" si="15"/>
        <v>0</v>
      </c>
      <c r="AN188" s="77">
        <f t="shared" si="16"/>
        <v>0</v>
      </c>
      <c r="AO188" s="79" t="s">
        <v>130</v>
      </c>
      <c r="AT188" s="77">
        <f t="shared" si="17"/>
        <v>0</v>
      </c>
      <c r="AU188" s="77">
        <f t="shared" si="18"/>
        <v>0</v>
      </c>
      <c r="AV188" s="77">
        <f t="shared" si="19"/>
        <v>0</v>
      </c>
      <c r="AW188" s="79" t="s">
        <v>416</v>
      </c>
      <c r="AX188" s="79" t="s">
        <v>417</v>
      </c>
      <c r="AY188" s="71" t="s">
        <v>137</v>
      </c>
      <c r="BA188" s="77">
        <f t="shared" si="20"/>
        <v>0</v>
      </c>
      <c r="BB188" s="77">
        <f t="shared" si="21"/>
        <v>0</v>
      </c>
      <c r="BC188" s="77">
        <v>0</v>
      </c>
      <c r="BD188" s="77">
        <f t="shared" si="22"/>
        <v>0</v>
      </c>
      <c r="BF188" s="77">
        <f t="shared" si="23"/>
        <v>0</v>
      </c>
      <c r="BG188" s="77">
        <f t="shared" si="24"/>
        <v>0</v>
      </c>
      <c r="BH188" s="77">
        <f t="shared" si="25"/>
        <v>0</v>
      </c>
      <c r="BI188" s="77"/>
      <c r="BJ188" s="77"/>
      <c r="BU188" s="77" t="e">
        <f>#REF!</f>
        <v>#REF!</v>
      </c>
      <c r="BV188" s="70" t="s">
        <v>666</v>
      </c>
    </row>
    <row r="189" spans="1:74" x14ac:dyDescent="0.25">
      <c r="A189" s="92" t="s">
        <v>335</v>
      </c>
      <c r="B189" s="69" t="s">
        <v>667</v>
      </c>
      <c r="C189" s="306" t="s">
        <v>668</v>
      </c>
      <c r="D189" s="307"/>
      <c r="E189" s="69" t="s">
        <v>482</v>
      </c>
      <c r="F189" s="77">
        <v>1</v>
      </c>
      <c r="G189" s="218">
        <v>0</v>
      </c>
      <c r="H189" s="77">
        <f t="shared" si="0"/>
        <v>0</v>
      </c>
      <c r="I189" s="77">
        <f t="shared" si="1"/>
        <v>0</v>
      </c>
      <c r="J189" s="77">
        <f t="shared" si="2"/>
        <v>0</v>
      </c>
      <c r="K189" s="77">
        <v>0</v>
      </c>
      <c r="L189" s="77">
        <f t="shared" si="3"/>
        <v>0</v>
      </c>
      <c r="M189" s="103" t="s">
        <v>35</v>
      </c>
      <c r="X189" s="77">
        <f t="shared" si="4"/>
        <v>0</v>
      </c>
      <c r="Z189" s="77">
        <f t="shared" si="5"/>
        <v>0</v>
      </c>
      <c r="AA189" s="77">
        <f t="shared" si="6"/>
        <v>0</v>
      </c>
      <c r="AB189" s="77">
        <f t="shared" si="7"/>
        <v>0</v>
      </c>
      <c r="AC189" s="77">
        <f t="shared" si="8"/>
        <v>0</v>
      </c>
      <c r="AD189" s="77">
        <f t="shared" si="9"/>
        <v>0</v>
      </c>
      <c r="AE189" s="77">
        <f t="shared" si="10"/>
        <v>0</v>
      </c>
      <c r="AF189" s="77">
        <f t="shared" si="11"/>
        <v>0</v>
      </c>
      <c r="AG189" s="71" t="s">
        <v>129</v>
      </c>
      <c r="AH189" s="77">
        <f t="shared" si="12"/>
        <v>0</v>
      </c>
      <c r="AI189" s="77">
        <f t="shared" si="13"/>
        <v>0</v>
      </c>
      <c r="AJ189" s="77">
        <f t="shared" si="14"/>
        <v>0</v>
      </c>
      <c r="AL189" s="77">
        <v>21</v>
      </c>
      <c r="AM189" s="77">
        <f t="shared" si="15"/>
        <v>0</v>
      </c>
      <c r="AN189" s="77">
        <f t="shared" si="16"/>
        <v>0</v>
      </c>
      <c r="AO189" s="79" t="s">
        <v>130</v>
      </c>
      <c r="AT189" s="77">
        <f t="shared" si="17"/>
        <v>0</v>
      </c>
      <c r="AU189" s="77">
        <f t="shared" si="18"/>
        <v>0</v>
      </c>
      <c r="AV189" s="77">
        <f t="shared" si="19"/>
        <v>0</v>
      </c>
      <c r="AW189" s="79" t="s">
        <v>416</v>
      </c>
      <c r="AX189" s="79" t="s">
        <v>417</v>
      </c>
      <c r="AY189" s="71" t="s">
        <v>137</v>
      </c>
      <c r="BA189" s="77">
        <f t="shared" si="20"/>
        <v>0</v>
      </c>
      <c r="BB189" s="77">
        <f t="shared" si="21"/>
        <v>0</v>
      </c>
      <c r="BC189" s="77">
        <v>0</v>
      </c>
      <c r="BD189" s="77">
        <f t="shared" si="22"/>
        <v>0</v>
      </c>
      <c r="BF189" s="77">
        <f t="shared" si="23"/>
        <v>0</v>
      </c>
      <c r="BG189" s="77">
        <f t="shared" si="24"/>
        <v>0</v>
      </c>
      <c r="BH189" s="77">
        <f t="shared" si="25"/>
        <v>0</v>
      </c>
      <c r="BI189" s="77"/>
      <c r="BJ189" s="77"/>
      <c r="BU189" s="77" t="e">
        <f>#REF!</f>
        <v>#REF!</v>
      </c>
      <c r="BV189" s="70" t="s">
        <v>668</v>
      </c>
    </row>
    <row r="190" spans="1:74" x14ac:dyDescent="0.25">
      <c r="A190" s="92" t="s">
        <v>669</v>
      </c>
      <c r="B190" s="69" t="s">
        <v>670</v>
      </c>
      <c r="C190" s="306" t="s">
        <v>671</v>
      </c>
      <c r="D190" s="307"/>
      <c r="E190" s="69" t="s">
        <v>482</v>
      </c>
      <c r="F190" s="77">
        <v>1</v>
      </c>
      <c r="G190" s="218">
        <v>0</v>
      </c>
      <c r="H190" s="77">
        <f t="shared" si="0"/>
        <v>0</v>
      </c>
      <c r="I190" s="77">
        <f t="shared" si="1"/>
        <v>0</v>
      </c>
      <c r="J190" s="77">
        <f t="shared" si="2"/>
        <v>0</v>
      </c>
      <c r="K190" s="77">
        <v>0</v>
      </c>
      <c r="L190" s="77">
        <f t="shared" si="3"/>
        <v>0</v>
      </c>
      <c r="M190" s="103" t="s">
        <v>35</v>
      </c>
      <c r="X190" s="77">
        <f t="shared" si="4"/>
        <v>0</v>
      </c>
      <c r="Z190" s="77">
        <f t="shared" si="5"/>
        <v>0</v>
      </c>
      <c r="AA190" s="77">
        <f t="shared" si="6"/>
        <v>0</v>
      </c>
      <c r="AB190" s="77">
        <f t="shared" si="7"/>
        <v>0</v>
      </c>
      <c r="AC190" s="77">
        <f t="shared" si="8"/>
        <v>0</v>
      </c>
      <c r="AD190" s="77">
        <f t="shared" si="9"/>
        <v>0</v>
      </c>
      <c r="AE190" s="77">
        <f t="shared" si="10"/>
        <v>0</v>
      </c>
      <c r="AF190" s="77">
        <f t="shared" si="11"/>
        <v>0</v>
      </c>
      <c r="AG190" s="71" t="s">
        <v>129</v>
      </c>
      <c r="AH190" s="77">
        <f t="shared" si="12"/>
        <v>0</v>
      </c>
      <c r="AI190" s="77">
        <f t="shared" si="13"/>
        <v>0</v>
      </c>
      <c r="AJ190" s="77">
        <f t="shared" si="14"/>
        <v>0</v>
      </c>
      <c r="AL190" s="77">
        <v>21</v>
      </c>
      <c r="AM190" s="77">
        <f t="shared" si="15"/>
        <v>0</v>
      </c>
      <c r="AN190" s="77">
        <f t="shared" si="16"/>
        <v>0</v>
      </c>
      <c r="AO190" s="79" t="s">
        <v>130</v>
      </c>
      <c r="AT190" s="77">
        <f t="shared" si="17"/>
        <v>0</v>
      </c>
      <c r="AU190" s="77">
        <f t="shared" si="18"/>
        <v>0</v>
      </c>
      <c r="AV190" s="77">
        <f t="shared" si="19"/>
        <v>0</v>
      </c>
      <c r="AW190" s="79" t="s">
        <v>416</v>
      </c>
      <c r="AX190" s="79" t="s">
        <v>417</v>
      </c>
      <c r="AY190" s="71" t="s">
        <v>137</v>
      </c>
      <c r="BA190" s="77">
        <f t="shared" si="20"/>
        <v>0</v>
      </c>
      <c r="BB190" s="77">
        <f t="shared" si="21"/>
        <v>0</v>
      </c>
      <c r="BC190" s="77">
        <v>0</v>
      </c>
      <c r="BD190" s="77">
        <f t="shared" si="22"/>
        <v>0</v>
      </c>
      <c r="BF190" s="77">
        <f t="shared" si="23"/>
        <v>0</v>
      </c>
      <c r="BG190" s="77">
        <f t="shared" si="24"/>
        <v>0</v>
      </c>
      <c r="BH190" s="77">
        <f t="shared" si="25"/>
        <v>0</v>
      </c>
      <c r="BI190" s="77"/>
      <c r="BJ190" s="77"/>
      <c r="BU190" s="77" t="e">
        <f>#REF!</f>
        <v>#REF!</v>
      </c>
      <c r="BV190" s="70" t="s">
        <v>671</v>
      </c>
    </row>
    <row r="191" spans="1:74" x14ac:dyDescent="0.25">
      <c r="A191" s="92" t="s">
        <v>672</v>
      </c>
      <c r="B191" s="69" t="s">
        <v>673</v>
      </c>
      <c r="C191" s="306" t="s">
        <v>674</v>
      </c>
      <c r="D191" s="307"/>
      <c r="E191" s="69" t="s">
        <v>482</v>
      </c>
      <c r="F191" s="77">
        <v>1</v>
      </c>
      <c r="G191" s="218">
        <v>0</v>
      </c>
      <c r="H191" s="77">
        <f t="shared" si="0"/>
        <v>0</v>
      </c>
      <c r="I191" s="77">
        <f t="shared" si="1"/>
        <v>0</v>
      </c>
      <c r="J191" s="77">
        <f t="shared" si="2"/>
        <v>0</v>
      </c>
      <c r="K191" s="77">
        <v>0</v>
      </c>
      <c r="L191" s="77">
        <f t="shared" si="3"/>
        <v>0</v>
      </c>
      <c r="M191" s="103" t="s">
        <v>35</v>
      </c>
      <c r="X191" s="77">
        <f t="shared" si="4"/>
        <v>0</v>
      </c>
      <c r="Z191" s="77">
        <f t="shared" si="5"/>
        <v>0</v>
      </c>
      <c r="AA191" s="77">
        <f t="shared" si="6"/>
        <v>0</v>
      </c>
      <c r="AB191" s="77">
        <f t="shared" si="7"/>
        <v>0</v>
      </c>
      <c r="AC191" s="77">
        <f t="shared" si="8"/>
        <v>0</v>
      </c>
      <c r="AD191" s="77">
        <f t="shared" si="9"/>
        <v>0</v>
      </c>
      <c r="AE191" s="77">
        <f t="shared" si="10"/>
        <v>0</v>
      </c>
      <c r="AF191" s="77">
        <f t="shared" si="11"/>
        <v>0</v>
      </c>
      <c r="AG191" s="71" t="s">
        <v>129</v>
      </c>
      <c r="AH191" s="77">
        <f t="shared" si="12"/>
        <v>0</v>
      </c>
      <c r="AI191" s="77">
        <f t="shared" si="13"/>
        <v>0</v>
      </c>
      <c r="AJ191" s="77">
        <f t="shared" si="14"/>
        <v>0</v>
      </c>
      <c r="AL191" s="77">
        <v>21</v>
      </c>
      <c r="AM191" s="77">
        <f t="shared" si="15"/>
        <v>0</v>
      </c>
      <c r="AN191" s="77">
        <f t="shared" si="16"/>
        <v>0</v>
      </c>
      <c r="AO191" s="79" t="s">
        <v>130</v>
      </c>
      <c r="AT191" s="77">
        <f t="shared" si="17"/>
        <v>0</v>
      </c>
      <c r="AU191" s="77">
        <f t="shared" si="18"/>
        <v>0</v>
      </c>
      <c r="AV191" s="77">
        <f t="shared" si="19"/>
        <v>0</v>
      </c>
      <c r="AW191" s="79" t="s">
        <v>416</v>
      </c>
      <c r="AX191" s="79" t="s">
        <v>417</v>
      </c>
      <c r="AY191" s="71" t="s">
        <v>137</v>
      </c>
      <c r="BA191" s="77">
        <f t="shared" si="20"/>
        <v>0</v>
      </c>
      <c r="BB191" s="77">
        <f t="shared" si="21"/>
        <v>0</v>
      </c>
      <c r="BC191" s="77">
        <v>0</v>
      </c>
      <c r="BD191" s="77">
        <f t="shared" si="22"/>
        <v>0</v>
      </c>
      <c r="BF191" s="77">
        <f t="shared" si="23"/>
        <v>0</v>
      </c>
      <c r="BG191" s="77">
        <f t="shared" si="24"/>
        <v>0</v>
      </c>
      <c r="BH191" s="77">
        <f t="shared" si="25"/>
        <v>0</v>
      </c>
      <c r="BI191" s="77"/>
      <c r="BJ191" s="77"/>
      <c r="BU191" s="77" t="e">
        <f>#REF!</f>
        <v>#REF!</v>
      </c>
      <c r="BV191" s="70" t="s">
        <v>674</v>
      </c>
    </row>
    <row r="192" spans="1:74" ht="13.5" customHeight="1" x14ac:dyDescent="0.25">
      <c r="A192" s="104"/>
      <c r="B192" s="81" t="s">
        <v>138</v>
      </c>
      <c r="C192" s="303" t="s">
        <v>675</v>
      </c>
      <c r="D192" s="304"/>
      <c r="E192" s="304"/>
      <c r="F192" s="304"/>
      <c r="G192" s="304"/>
      <c r="H192" s="304"/>
      <c r="I192" s="304"/>
      <c r="J192" s="304"/>
      <c r="K192" s="304"/>
      <c r="L192" s="304"/>
      <c r="M192" s="305"/>
    </row>
    <row r="193" spans="1:74" x14ac:dyDescent="0.25">
      <c r="A193" s="92" t="s">
        <v>676</v>
      </c>
      <c r="B193" s="69" t="s">
        <v>677</v>
      </c>
      <c r="C193" s="306" t="s">
        <v>678</v>
      </c>
      <c r="D193" s="307"/>
      <c r="E193" s="69" t="s">
        <v>482</v>
      </c>
      <c r="F193" s="77">
        <v>1</v>
      </c>
      <c r="G193" s="218">
        <v>0</v>
      </c>
      <c r="H193" s="77">
        <f t="shared" ref="H193:H200" si="26">F193*AM193</f>
        <v>0</v>
      </c>
      <c r="I193" s="77">
        <f t="shared" ref="I193:I200" si="27">F193*AN193</f>
        <v>0</v>
      </c>
      <c r="J193" s="77">
        <f t="shared" ref="J193:J200" si="28">F193*G193</f>
        <v>0</v>
      </c>
      <c r="K193" s="77">
        <v>2.5000000000000001E-4</v>
      </c>
      <c r="L193" s="77">
        <f t="shared" ref="L193:L200" si="29">F193*K193</f>
        <v>2.5000000000000001E-4</v>
      </c>
      <c r="M193" s="103" t="s">
        <v>35</v>
      </c>
      <c r="X193" s="77">
        <f t="shared" ref="X193:X200" si="30">IF(AO193="5",BH193,0)</f>
        <v>0</v>
      </c>
      <c r="Z193" s="77">
        <f t="shared" ref="Z193:Z200" si="31">IF(AO193="1",BF193,0)</f>
        <v>0</v>
      </c>
      <c r="AA193" s="77">
        <f t="shared" ref="AA193:AA200" si="32">IF(AO193="1",BG193,0)</f>
        <v>0</v>
      </c>
      <c r="AB193" s="77">
        <f t="shared" ref="AB193:AB200" si="33">IF(AO193="7",BF193,0)</f>
        <v>0</v>
      </c>
      <c r="AC193" s="77">
        <f t="shared" ref="AC193:AC200" si="34">IF(AO193="7",BG193,0)</f>
        <v>0</v>
      </c>
      <c r="AD193" s="77">
        <f t="shared" ref="AD193:AD200" si="35">IF(AO193="2",BF193,0)</f>
        <v>0</v>
      </c>
      <c r="AE193" s="77">
        <f t="shared" ref="AE193:AE200" si="36">IF(AO193="2",BG193,0)</f>
        <v>0</v>
      </c>
      <c r="AF193" s="77">
        <f t="shared" ref="AF193:AF200" si="37">IF(AO193="0",BH193,0)</f>
        <v>0</v>
      </c>
      <c r="AG193" s="71" t="s">
        <v>129</v>
      </c>
      <c r="AH193" s="77">
        <f t="shared" ref="AH193:AH200" si="38">IF(AL193=0,J193,0)</f>
        <v>0</v>
      </c>
      <c r="AI193" s="77">
        <f t="shared" ref="AI193:AI200" si="39">IF(AL193=15,J193,0)</f>
        <v>0</v>
      </c>
      <c r="AJ193" s="77">
        <f t="shared" ref="AJ193:AJ200" si="40">IF(AL193=21,J193,0)</f>
        <v>0</v>
      </c>
      <c r="AL193" s="77">
        <v>21</v>
      </c>
      <c r="AM193" s="77">
        <f t="shared" ref="AM193:AM200" si="41">G193*1</f>
        <v>0</v>
      </c>
      <c r="AN193" s="77">
        <f t="shared" ref="AN193:AN200" si="42">G193*(1-1)</f>
        <v>0</v>
      </c>
      <c r="AO193" s="79" t="s">
        <v>130</v>
      </c>
      <c r="AT193" s="77">
        <f t="shared" ref="AT193:AT200" si="43">AU193+AV193</f>
        <v>0</v>
      </c>
      <c r="AU193" s="77">
        <f t="shared" ref="AU193:AU200" si="44">F193*AM193</f>
        <v>0</v>
      </c>
      <c r="AV193" s="77">
        <f t="shared" ref="AV193:AV200" si="45">F193*AN193</f>
        <v>0</v>
      </c>
      <c r="AW193" s="79" t="s">
        <v>416</v>
      </c>
      <c r="AX193" s="79" t="s">
        <v>417</v>
      </c>
      <c r="AY193" s="71" t="s">
        <v>137</v>
      </c>
      <c r="BA193" s="77">
        <f t="shared" ref="BA193:BA200" si="46">AU193+AV193</f>
        <v>0</v>
      </c>
      <c r="BB193" s="77">
        <f t="shared" ref="BB193:BB200" si="47">G193/(100-BC193)*100</f>
        <v>0</v>
      </c>
      <c r="BC193" s="77">
        <v>0</v>
      </c>
      <c r="BD193" s="77">
        <f t="shared" ref="BD193:BD200" si="48">L193</f>
        <v>2.5000000000000001E-4</v>
      </c>
      <c r="BF193" s="77">
        <f t="shared" ref="BF193:BF200" si="49">F193*AM193</f>
        <v>0</v>
      </c>
      <c r="BG193" s="77">
        <f t="shared" ref="BG193:BG200" si="50">F193*AN193</f>
        <v>0</v>
      </c>
      <c r="BH193" s="77">
        <f t="shared" ref="BH193:BH200" si="51">F193*G193</f>
        <v>0</v>
      </c>
      <c r="BI193" s="77"/>
      <c r="BJ193" s="77"/>
      <c r="BU193" s="77" t="e">
        <f>#REF!</f>
        <v>#REF!</v>
      </c>
      <c r="BV193" s="70" t="s">
        <v>678</v>
      </c>
    </row>
    <row r="194" spans="1:74" x14ac:dyDescent="0.25">
      <c r="A194" s="92" t="s">
        <v>679</v>
      </c>
      <c r="B194" s="69" t="s">
        <v>680</v>
      </c>
      <c r="C194" s="306" t="s">
        <v>681</v>
      </c>
      <c r="D194" s="307"/>
      <c r="E194" s="69" t="s">
        <v>482</v>
      </c>
      <c r="F194" s="77">
        <v>3</v>
      </c>
      <c r="G194" s="218">
        <v>0</v>
      </c>
      <c r="H194" s="77">
        <f t="shared" si="26"/>
        <v>0</v>
      </c>
      <c r="I194" s="77">
        <f t="shared" si="27"/>
        <v>0</v>
      </c>
      <c r="J194" s="77">
        <f t="shared" si="28"/>
        <v>0</v>
      </c>
      <c r="K194" s="77">
        <v>2.5000000000000001E-4</v>
      </c>
      <c r="L194" s="77">
        <f t="shared" si="29"/>
        <v>7.5000000000000002E-4</v>
      </c>
      <c r="M194" s="103" t="s">
        <v>35</v>
      </c>
      <c r="X194" s="77">
        <f t="shared" si="30"/>
        <v>0</v>
      </c>
      <c r="Z194" s="77">
        <f t="shared" si="31"/>
        <v>0</v>
      </c>
      <c r="AA194" s="77">
        <f t="shared" si="32"/>
        <v>0</v>
      </c>
      <c r="AB194" s="77">
        <f t="shared" si="33"/>
        <v>0</v>
      </c>
      <c r="AC194" s="77">
        <f t="shared" si="34"/>
        <v>0</v>
      </c>
      <c r="AD194" s="77">
        <f t="shared" si="35"/>
        <v>0</v>
      </c>
      <c r="AE194" s="77">
        <f t="shared" si="36"/>
        <v>0</v>
      </c>
      <c r="AF194" s="77">
        <f t="shared" si="37"/>
        <v>0</v>
      </c>
      <c r="AG194" s="71" t="s">
        <v>129</v>
      </c>
      <c r="AH194" s="77">
        <f t="shared" si="38"/>
        <v>0</v>
      </c>
      <c r="AI194" s="77">
        <f t="shared" si="39"/>
        <v>0</v>
      </c>
      <c r="AJ194" s="77">
        <f t="shared" si="40"/>
        <v>0</v>
      </c>
      <c r="AL194" s="77">
        <v>21</v>
      </c>
      <c r="AM194" s="77">
        <f t="shared" si="41"/>
        <v>0</v>
      </c>
      <c r="AN194" s="77">
        <f t="shared" si="42"/>
        <v>0</v>
      </c>
      <c r="AO194" s="79" t="s">
        <v>130</v>
      </c>
      <c r="AT194" s="77">
        <f t="shared" si="43"/>
        <v>0</v>
      </c>
      <c r="AU194" s="77">
        <f t="shared" si="44"/>
        <v>0</v>
      </c>
      <c r="AV194" s="77">
        <f t="shared" si="45"/>
        <v>0</v>
      </c>
      <c r="AW194" s="79" t="s">
        <v>416</v>
      </c>
      <c r="AX194" s="79" t="s">
        <v>417</v>
      </c>
      <c r="AY194" s="71" t="s">
        <v>137</v>
      </c>
      <c r="BA194" s="77">
        <f t="shared" si="46"/>
        <v>0</v>
      </c>
      <c r="BB194" s="77">
        <f t="shared" si="47"/>
        <v>0</v>
      </c>
      <c r="BC194" s="77">
        <v>0</v>
      </c>
      <c r="BD194" s="77">
        <f t="shared" si="48"/>
        <v>7.5000000000000002E-4</v>
      </c>
      <c r="BF194" s="77">
        <f t="shared" si="49"/>
        <v>0</v>
      </c>
      <c r="BG194" s="77">
        <f t="shared" si="50"/>
        <v>0</v>
      </c>
      <c r="BH194" s="77">
        <f t="shared" si="51"/>
        <v>0</v>
      </c>
      <c r="BI194" s="77"/>
      <c r="BJ194" s="77"/>
      <c r="BU194" s="77" t="e">
        <f>#REF!</f>
        <v>#REF!</v>
      </c>
      <c r="BV194" s="70" t="s">
        <v>681</v>
      </c>
    </row>
    <row r="195" spans="1:74" x14ac:dyDescent="0.25">
      <c r="A195" s="92" t="s">
        <v>682</v>
      </c>
      <c r="B195" s="69" t="s">
        <v>683</v>
      </c>
      <c r="C195" s="306" t="s">
        <v>684</v>
      </c>
      <c r="D195" s="307"/>
      <c r="E195" s="69" t="s">
        <v>482</v>
      </c>
      <c r="F195" s="77">
        <v>1</v>
      </c>
      <c r="G195" s="218">
        <v>0</v>
      </c>
      <c r="H195" s="77">
        <f t="shared" si="26"/>
        <v>0</v>
      </c>
      <c r="I195" s="77">
        <f t="shared" si="27"/>
        <v>0</v>
      </c>
      <c r="J195" s="77">
        <f t="shared" si="28"/>
        <v>0</v>
      </c>
      <c r="K195" s="77">
        <v>0</v>
      </c>
      <c r="L195" s="77">
        <f t="shared" si="29"/>
        <v>0</v>
      </c>
      <c r="M195" s="103" t="s">
        <v>35</v>
      </c>
      <c r="X195" s="77">
        <f t="shared" si="30"/>
        <v>0</v>
      </c>
      <c r="Z195" s="77">
        <f t="shared" si="31"/>
        <v>0</v>
      </c>
      <c r="AA195" s="77">
        <f t="shared" si="32"/>
        <v>0</v>
      </c>
      <c r="AB195" s="77">
        <f t="shared" si="33"/>
        <v>0</v>
      </c>
      <c r="AC195" s="77">
        <f t="shared" si="34"/>
        <v>0</v>
      </c>
      <c r="AD195" s="77">
        <f t="shared" si="35"/>
        <v>0</v>
      </c>
      <c r="AE195" s="77">
        <f t="shared" si="36"/>
        <v>0</v>
      </c>
      <c r="AF195" s="77">
        <f t="shared" si="37"/>
        <v>0</v>
      </c>
      <c r="AG195" s="71" t="s">
        <v>129</v>
      </c>
      <c r="AH195" s="77">
        <f t="shared" si="38"/>
        <v>0</v>
      </c>
      <c r="AI195" s="77">
        <f t="shared" si="39"/>
        <v>0</v>
      </c>
      <c r="AJ195" s="77">
        <f t="shared" si="40"/>
        <v>0</v>
      </c>
      <c r="AL195" s="77">
        <v>21</v>
      </c>
      <c r="AM195" s="77">
        <f t="shared" si="41"/>
        <v>0</v>
      </c>
      <c r="AN195" s="77">
        <f t="shared" si="42"/>
        <v>0</v>
      </c>
      <c r="AO195" s="79" t="s">
        <v>130</v>
      </c>
      <c r="AT195" s="77">
        <f t="shared" si="43"/>
        <v>0</v>
      </c>
      <c r="AU195" s="77">
        <f t="shared" si="44"/>
        <v>0</v>
      </c>
      <c r="AV195" s="77">
        <f t="shared" si="45"/>
        <v>0</v>
      </c>
      <c r="AW195" s="79" t="s">
        <v>416</v>
      </c>
      <c r="AX195" s="79" t="s">
        <v>417</v>
      </c>
      <c r="AY195" s="71" t="s">
        <v>137</v>
      </c>
      <c r="BA195" s="77">
        <f t="shared" si="46"/>
        <v>0</v>
      </c>
      <c r="BB195" s="77">
        <f t="shared" si="47"/>
        <v>0</v>
      </c>
      <c r="BC195" s="77">
        <v>0</v>
      </c>
      <c r="BD195" s="77">
        <f t="shared" si="48"/>
        <v>0</v>
      </c>
      <c r="BF195" s="77">
        <f t="shared" si="49"/>
        <v>0</v>
      </c>
      <c r="BG195" s="77">
        <f t="shared" si="50"/>
        <v>0</v>
      </c>
      <c r="BH195" s="77">
        <f t="shared" si="51"/>
        <v>0</v>
      </c>
      <c r="BI195" s="77"/>
      <c r="BJ195" s="77"/>
      <c r="BU195" s="77" t="e">
        <f>#REF!</f>
        <v>#REF!</v>
      </c>
      <c r="BV195" s="70" t="s">
        <v>684</v>
      </c>
    </row>
    <row r="196" spans="1:74" x14ac:dyDescent="0.25">
      <c r="A196" s="92" t="s">
        <v>685</v>
      </c>
      <c r="B196" s="69" t="s">
        <v>686</v>
      </c>
      <c r="C196" s="306" t="s">
        <v>687</v>
      </c>
      <c r="D196" s="307"/>
      <c r="E196" s="69" t="s">
        <v>482</v>
      </c>
      <c r="F196" s="77">
        <v>3</v>
      </c>
      <c r="G196" s="218">
        <v>0</v>
      </c>
      <c r="H196" s="77">
        <f t="shared" si="26"/>
        <v>0</v>
      </c>
      <c r="I196" s="77">
        <f t="shared" si="27"/>
        <v>0</v>
      </c>
      <c r="J196" s="77">
        <f t="shared" si="28"/>
        <v>0</v>
      </c>
      <c r="K196" s="77">
        <v>0</v>
      </c>
      <c r="L196" s="77">
        <f t="shared" si="29"/>
        <v>0</v>
      </c>
      <c r="M196" s="103" t="s">
        <v>35</v>
      </c>
      <c r="X196" s="77">
        <f t="shared" si="30"/>
        <v>0</v>
      </c>
      <c r="Z196" s="77">
        <f t="shared" si="31"/>
        <v>0</v>
      </c>
      <c r="AA196" s="77">
        <f t="shared" si="32"/>
        <v>0</v>
      </c>
      <c r="AB196" s="77">
        <f t="shared" si="33"/>
        <v>0</v>
      </c>
      <c r="AC196" s="77">
        <f t="shared" si="34"/>
        <v>0</v>
      </c>
      <c r="AD196" s="77">
        <f t="shared" si="35"/>
        <v>0</v>
      </c>
      <c r="AE196" s="77">
        <f t="shared" si="36"/>
        <v>0</v>
      </c>
      <c r="AF196" s="77">
        <f t="shared" si="37"/>
        <v>0</v>
      </c>
      <c r="AG196" s="71" t="s">
        <v>129</v>
      </c>
      <c r="AH196" s="77">
        <f t="shared" si="38"/>
        <v>0</v>
      </c>
      <c r="AI196" s="77">
        <f t="shared" si="39"/>
        <v>0</v>
      </c>
      <c r="AJ196" s="77">
        <f t="shared" si="40"/>
        <v>0</v>
      </c>
      <c r="AL196" s="77">
        <v>21</v>
      </c>
      <c r="AM196" s="77">
        <f t="shared" si="41"/>
        <v>0</v>
      </c>
      <c r="AN196" s="77">
        <f t="shared" si="42"/>
        <v>0</v>
      </c>
      <c r="AO196" s="79" t="s">
        <v>130</v>
      </c>
      <c r="AT196" s="77">
        <f t="shared" si="43"/>
        <v>0</v>
      </c>
      <c r="AU196" s="77">
        <f t="shared" si="44"/>
        <v>0</v>
      </c>
      <c r="AV196" s="77">
        <f t="shared" si="45"/>
        <v>0</v>
      </c>
      <c r="AW196" s="79" t="s">
        <v>416</v>
      </c>
      <c r="AX196" s="79" t="s">
        <v>417</v>
      </c>
      <c r="AY196" s="71" t="s">
        <v>137</v>
      </c>
      <c r="BA196" s="77">
        <f t="shared" si="46"/>
        <v>0</v>
      </c>
      <c r="BB196" s="77">
        <f t="shared" si="47"/>
        <v>0</v>
      </c>
      <c r="BC196" s="77">
        <v>0</v>
      </c>
      <c r="BD196" s="77">
        <f t="shared" si="48"/>
        <v>0</v>
      </c>
      <c r="BF196" s="77">
        <f t="shared" si="49"/>
        <v>0</v>
      </c>
      <c r="BG196" s="77">
        <f t="shared" si="50"/>
        <v>0</v>
      </c>
      <c r="BH196" s="77">
        <f t="shared" si="51"/>
        <v>0</v>
      </c>
      <c r="BI196" s="77"/>
      <c r="BJ196" s="77"/>
      <c r="BU196" s="77" t="e">
        <f>#REF!</f>
        <v>#REF!</v>
      </c>
      <c r="BV196" s="70" t="s">
        <v>687</v>
      </c>
    </row>
    <row r="197" spans="1:74" x14ac:dyDescent="0.25">
      <c r="A197" s="92" t="s">
        <v>688</v>
      </c>
      <c r="B197" s="69" t="s">
        <v>689</v>
      </c>
      <c r="C197" s="306" t="s">
        <v>690</v>
      </c>
      <c r="D197" s="307"/>
      <c r="E197" s="69" t="s">
        <v>482</v>
      </c>
      <c r="F197" s="77">
        <v>4</v>
      </c>
      <c r="G197" s="218">
        <v>0</v>
      </c>
      <c r="H197" s="77">
        <f t="shared" si="26"/>
        <v>0</v>
      </c>
      <c r="I197" s="77">
        <f t="shared" si="27"/>
        <v>0</v>
      </c>
      <c r="J197" s="77">
        <f t="shared" si="28"/>
        <v>0</v>
      </c>
      <c r="K197" s="77">
        <v>0</v>
      </c>
      <c r="L197" s="77">
        <f t="shared" si="29"/>
        <v>0</v>
      </c>
      <c r="M197" s="103" t="s">
        <v>35</v>
      </c>
      <c r="X197" s="77">
        <f t="shared" si="30"/>
        <v>0</v>
      </c>
      <c r="Z197" s="77">
        <f t="shared" si="31"/>
        <v>0</v>
      </c>
      <c r="AA197" s="77">
        <f t="shared" si="32"/>
        <v>0</v>
      </c>
      <c r="AB197" s="77">
        <f t="shared" si="33"/>
        <v>0</v>
      </c>
      <c r="AC197" s="77">
        <f t="shared" si="34"/>
        <v>0</v>
      </c>
      <c r="AD197" s="77">
        <f t="shared" si="35"/>
        <v>0</v>
      </c>
      <c r="AE197" s="77">
        <f t="shared" si="36"/>
        <v>0</v>
      </c>
      <c r="AF197" s="77">
        <f t="shared" si="37"/>
        <v>0</v>
      </c>
      <c r="AG197" s="71" t="s">
        <v>129</v>
      </c>
      <c r="AH197" s="77">
        <f t="shared" si="38"/>
        <v>0</v>
      </c>
      <c r="AI197" s="77">
        <f t="shared" si="39"/>
        <v>0</v>
      </c>
      <c r="AJ197" s="77">
        <f t="shared" si="40"/>
        <v>0</v>
      </c>
      <c r="AL197" s="77">
        <v>21</v>
      </c>
      <c r="AM197" s="77">
        <f t="shared" si="41"/>
        <v>0</v>
      </c>
      <c r="AN197" s="77">
        <f t="shared" si="42"/>
        <v>0</v>
      </c>
      <c r="AO197" s="79" t="s">
        <v>130</v>
      </c>
      <c r="AT197" s="77">
        <f t="shared" si="43"/>
        <v>0</v>
      </c>
      <c r="AU197" s="77">
        <f t="shared" si="44"/>
        <v>0</v>
      </c>
      <c r="AV197" s="77">
        <f t="shared" si="45"/>
        <v>0</v>
      </c>
      <c r="AW197" s="79" t="s">
        <v>416</v>
      </c>
      <c r="AX197" s="79" t="s">
        <v>417</v>
      </c>
      <c r="AY197" s="71" t="s">
        <v>137</v>
      </c>
      <c r="BA197" s="77">
        <f t="shared" si="46"/>
        <v>0</v>
      </c>
      <c r="BB197" s="77">
        <f t="shared" si="47"/>
        <v>0</v>
      </c>
      <c r="BC197" s="77">
        <v>0</v>
      </c>
      <c r="BD197" s="77">
        <f t="shared" si="48"/>
        <v>0</v>
      </c>
      <c r="BF197" s="77">
        <f t="shared" si="49"/>
        <v>0</v>
      </c>
      <c r="BG197" s="77">
        <f t="shared" si="50"/>
        <v>0</v>
      </c>
      <c r="BH197" s="77">
        <f t="shared" si="51"/>
        <v>0</v>
      </c>
      <c r="BI197" s="77"/>
      <c r="BJ197" s="77"/>
      <c r="BU197" s="77" t="e">
        <f>#REF!</f>
        <v>#REF!</v>
      </c>
      <c r="BV197" s="70" t="s">
        <v>690</v>
      </c>
    </row>
    <row r="198" spans="1:74" x14ac:dyDescent="0.25">
      <c r="A198" s="92" t="s">
        <v>378</v>
      </c>
      <c r="B198" s="69" t="s">
        <v>662</v>
      </c>
      <c r="C198" s="306" t="s">
        <v>691</v>
      </c>
      <c r="D198" s="307"/>
      <c r="E198" s="69" t="s">
        <v>482</v>
      </c>
      <c r="F198" s="77">
        <v>4</v>
      </c>
      <c r="G198" s="218">
        <v>0</v>
      </c>
      <c r="H198" s="77">
        <f t="shared" si="26"/>
        <v>0</v>
      </c>
      <c r="I198" s="77">
        <f t="shared" si="27"/>
        <v>0</v>
      </c>
      <c r="J198" s="77">
        <f t="shared" si="28"/>
        <v>0</v>
      </c>
      <c r="K198" s="77">
        <v>0</v>
      </c>
      <c r="L198" s="77">
        <f t="shared" si="29"/>
        <v>0</v>
      </c>
      <c r="M198" s="103" t="s">
        <v>35</v>
      </c>
      <c r="X198" s="77">
        <f t="shared" si="30"/>
        <v>0</v>
      </c>
      <c r="Z198" s="77">
        <f t="shared" si="31"/>
        <v>0</v>
      </c>
      <c r="AA198" s="77">
        <f t="shared" si="32"/>
        <v>0</v>
      </c>
      <c r="AB198" s="77">
        <f t="shared" si="33"/>
        <v>0</v>
      </c>
      <c r="AC198" s="77">
        <f t="shared" si="34"/>
        <v>0</v>
      </c>
      <c r="AD198" s="77">
        <f t="shared" si="35"/>
        <v>0</v>
      </c>
      <c r="AE198" s="77">
        <f t="shared" si="36"/>
        <v>0</v>
      </c>
      <c r="AF198" s="77">
        <f t="shared" si="37"/>
        <v>0</v>
      </c>
      <c r="AG198" s="71" t="s">
        <v>129</v>
      </c>
      <c r="AH198" s="77">
        <f t="shared" si="38"/>
        <v>0</v>
      </c>
      <c r="AI198" s="77">
        <f t="shared" si="39"/>
        <v>0</v>
      </c>
      <c r="AJ198" s="77">
        <f t="shared" si="40"/>
        <v>0</v>
      </c>
      <c r="AL198" s="77">
        <v>21</v>
      </c>
      <c r="AM198" s="77">
        <f t="shared" si="41"/>
        <v>0</v>
      </c>
      <c r="AN198" s="77">
        <f t="shared" si="42"/>
        <v>0</v>
      </c>
      <c r="AO198" s="79" t="s">
        <v>130</v>
      </c>
      <c r="AT198" s="77">
        <f t="shared" si="43"/>
        <v>0</v>
      </c>
      <c r="AU198" s="77">
        <f t="shared" si="44"/>
        <v>0</v>
      </c>
      <c r="AV198" s="77">
        <f t="shared" si="45"/>
        <v>0</v>
      </c>
      <c r="AW198" s="79" t="s">
        <v>416</v>
      </c>
      <c r="AX198" s="79" t="s">
        <v>417</v>
      </c>
      <c r="AY198" s="71" t="s">
        <v>137</v>
      </c>
      <c r="BA198" s="77">
        <f t="shared" si="46"/>
        <v>0</v>
      </c>
      <c r="BB198" s="77">
        <f t="shared" si="47"/>
        <v>0</v>
      </c>
      <c r="BC198" s="77">
        <v>0</v>
      </c>
      <c r="BD198" s="77">
        <f t="shared" si="48"/>
        <v>0</v>
      </c>
      <c r="BF198" s="77">
        <f t="shared" si="49"/>
        <v>0</v>
      </c>
      <c r="BG198" s="77">
        <f t="shared" si="50"/>
        <v>0</v>
      </c>
      <c r="BH198" s="77">
        <f t="shared" si="51"/>
        <v>0</v>
      </c>
      <c r="BI198" s="77"/>
      <c r="BJ198" s="77"/>
      <c r="BU198" s="77" t="e">
        <f>#REF!</f>
        <v>#REF!</v>
      </c>
      <c r="BV198" s="70" t="s">
        <v>691</v>
      </c>
    </row>
    <row r="199" spans="1:74" x14ac:dyDescent="0.25">
      <c r="A199" s="92" t="s">
        <v>692</v>
      </c>
      <c r="B199" s="69" t="s">
        <v>693</v>
      </c>
      <c r="C199" s="306" t="s">
        <v>694</v>
      </c>
      <c r="D199" s="307"/>
      <c r="E199" s="69" t="s">
        <v>325</v>
      </c>
      <c r="F199" s="77">
        <v>4</v>
      </c>
      <c r="G199" s="218">
        <v>0</v>
      </c>
      <c r="H199" s="77">
        <f t="shared" si="26"/>
        <v>0</v>
      </c>
      <c r="I199" s="77">
        <f t="shared" si="27"/>
        <v>0</v>
      </c>
      <c r="J199" s="77">
        <f t="shared" si="28"/>
        <v>0</v>
      </c>
      <c r="K199" s="77">
        <v>6.4999999999999997E-3</v>
      </c>
      <c r="L199" s="77">
        <f t="shared" si="29"/>
        <v>2.5999999999999999E-2</v>
      </c>
      <c r="M199" s="103" t="s">
        <v>35</v>
      </c>
      <c r="X199" s="77">
        <f t="shared" si="30"/>
        <v>0</v>
      </c>
      <c r="Z199" s="77">
        <f t="shared" si="31"/>
        <v>0</v>
      </c>
      <c r="AA199" s="77">
        <f t="shared" si="32"/>
        <v>0</v>
      </c>
      <c r="AB199" s="77">
        <f t="shared" si="33"/>
        <v>0</v>
      </c>
      <c r="AC199" s="77">
        <f t="shared" si="34"/>
        <v>0</v>
      </c>
      <c r="AD199" s="77">
        <f t="shared" si="35"/>
        <v>0</v>
      </c>
      <c r="AE199" s="77">
        <f t="shared" si="36"/>
        <v>0</v>
      </c>
      <c r="AF199" s="77">
        <f t="shared" si="37"/>
        <v>0</v>
      </c>
      <c r="AG199" s="71" t="s">
        <v>129</v>
      </c>
      <c r="AH199" s="77">
        <f t="shared" si="38"/>
        <v>0</v>
      </c>
      <c r="AI199" s="77">
        <f t="shared" si="39"/>
        <v>0</v>
      </c>
      <c r="AJ199" s="77">
        <f t="shared" si="40"/>
        <v>0</v>
      </c>
      <c r="AL199" s="77">
        <v>21</v>
      </c>
      <c r="AM199" s="77">
        <f t="shared" si="41"/>
        <v>0</v>
      </c>
      <c r="AN199" s="77">
        <f t="shared" si="42"/>
        <v>0</v>
      </c>
      <c r="AO199" s="79" t="s">
        <v>130</v>
      </c>
      <c r="AT199" s="77">
        <f t="shared" si="43"/>
        <v>0</v>
      </c>
      <c r="AU199" s="77">
        <f t="shared" si="44"/>
        <v>0</v>
      </c>
      <c r="AV199" s="77">
        <f t="shared" si="45"/>
        <v>0</v>
      </c>
      <c r="AW199" s="79" t="s">
        <v>416</v>
      </c>
      <c r="AX199" s="79" t="s">
        <v>417</v>
      </c>
      <c r="AY199" s="71" t="s">
        <v>137</v>
      </c>
      <c r="BA199" s="77">
        <f t="shared" si="46"/>
        <v>0</v>
      </c>
      <c r="BB199" s="77">
        <f t="shared" si="47"/>
        <v>0</v>
      </c>
      <c r="BC199" s="77">
        <v>0</v>
      </c>
      <c r="BD199" s="77">
        <f t="shared" si="48"/>
        <v>2.5999999999999999E-2</v>
      </c>
      <c r="BF199" s="77">
        <f t="shared" si="49"/>
        <v>0</v>
      </c>
      <c r="BG199" s="77">
        <f t="shared" si="50"/>
        <v>0</v>
      </c>
      <c r="BH199" s="77">
        <f t="shared" si="51"/>
        <v>0</v>
      </c>
      <c r="BI199" s="77"/>
      <c r="BJ199" s="77"/>
      <c r="BU199" s="77" t="e">
        <f>#REF!</f>
        <v>#REF!</v>
      </c>
      <c r="BV199" s="70" t="s">
        <v>694</v>
      </c>
    </row>
    <row r="200" spans="1:74" x14ac:dyDescent="0.25">
      <c r="A200" s="92" t="s">
        <v>695</v>
      </c>
      <c r="B200" s="69" t="s">
        <v>696</v>
      </c>
      <c r="C200" s="306" t="s">
        <v>697</v>
      </c>
      <c r="D200" s="307"/>
      <c r="E200" s="69" t="s">
        <v>482</v>
      </c>
      <c r="F200" s="77">
        <v>4</v>
      </c>
      <c r="G200" s="218">
        <v>0</v>
      </c>
      <c r="H200" s="77">
        <f t="shared" si="26"/>
        <v>0</v>
      </c>
      <c r="I200" s="77">
        <f t="shared" si="27"/>
        <v>0</v>
      </c>
      <c r="J200" s="77">
        <f t="shared" si="28"/>
        <v>0</v>
      </c>
      <c r="K200" s="77">
        <v>0.01</v>
      </c>
      <c r="L200" s="77">
        <f t="shared" si="29"/>
        <v>0.04</v>
      </c>
      <c r="M200" s="103" t="s">
        <v>35</v>
      </c>
      <c r="X200" s="77">
        <f t="shared" si="30"/>
        <v>0</v>
      </c>
      <c r="Z200" s="77">
        <f t="shared" si="31"/>
        <v>0</v>
      </c>
      <c r="AA200" s="77">
        <f t="shared" si="32"/>
        <v>0</v>
      </c>
      <c r="AB200" s="77">
        <f t="shared" si="33"/>
        <v>0</v>
      </c>
      <c r="AC200" s="77">
        <f t="shared" si="34"/>
        <v>0</v>
      </c>
      <c r="AD200" s="77">
        <f t="shared" si="35"/>
        <v>0</v>
      </c>
      <c r="AE200" s="77">
        <f t="shared" si="36"/>
        <v>0</v>
      </c>
      <c r="AF200" s="77">
        <f t="shared" si="37"/>
        <v>0</v>
      </c>
      <c r="AG200" s="71" t="s">
        <v>129</v>
      </c>
      <c r="AH200" s="77">
        <f t="shared" si="38"/>
        <v>0</v>
      </c>
      <c r="AI200" s="77">
        <f t="shared" si="39"/>
        <v>0</v>
      </c>
      <c r="AJ200" s="77">
        <f t="shared" si="40"/>
        <v>0</v>
      </c>
      <c r="AL200" s="77">
        <v>21</v>
      </c>
      <c r="AM200" s="77">
        <f t="shared" si="41"/>
        <v>0</v>
      </c>
      <c r="AN200" s="77">
        <f t="shared" si="42"/>
        <v>0</v>
      </c>
      <c r="AO200" s="79" t="s">
        <v>130</v>
      </c>
      <c r="AT200" s="77">
        <f t="shared" si="43"/>
        <v>0</v>
      </c>
      <c r="AU200" s="77">
        <f t="shared" si="44"/>
        <v>0</v>
      </c>
      <c r="AV200" s="77">
        <f t="shared" si="45"/>
        <v>0</v>
      </c>
      <c r="AW200" s="79" t="s">
        <v>416</v>
      </c>
      <c r="AX200" s="79" t="s">
        <v>417</v>
      </c>
      <c r="AY200" s="71" t="s">
        <v>137</v>
      </c>
      <c r="BA200" s="77">
        <f t="shared" si="46"/>
        <v>0</v>
      </c>
      <c r="BB200" s="77">
        <f t="shared" si="47"/>
        <v>0</v>
      </c>
      <c r="BC200" s="77">
        <v>0</v>
      </c>
      <c r="BD200" s="77">
        <f t="shared" si="48"/>
        <v>0.04</v>
      </c>
      <c r="BF200" s="77">
        <f t="shared" si="49"/>
        <v>0</v>
      </c>
      <c r="BG200" s="77">
        <f t="shared" si="50"/>
        <v>0</v>
      </c>
      <c r="BH200" s="77">
        <f t="shared" si="51"/>
        <v>0</v>
      </c>
      <c r="BI200" s="77"/>
      <c r="BJ200" s="77"/>
      <c r="BU200" s="77" t="e">
        <f>#REF!</f>
        <v>#REF!</v>
      </c>
      <c r="BV200" s="70" t="s">
        <v>697</v>
      </c>
    </row>
    <row r="201" spans="1:74" ht="40.5" customHeight="1" x14ac:dyDescent="0.25">
      <c r="A201" s="104"/>
      <c r="B201" s="81" t="s">
        <v>138</v>
      </c>
      <c r="C201" s="303" t="s">
        <v>698</v>
      </c>
      <c r="D201" s="304"/>
      <c r="E201" s="304"/>
      <c r="F201" s="304"/>
      <c r="G201" s="304"/>
      <c r="H201" s="304"/>
      <c r="I201" s="304"/>
      <c r="J201" s="304"/>
      <c r="K201" s="304"/>
      <c r="L201" s="304"/>
      <c r="M201" s="305"/>
    </row>
    <row r="202" spans="1:74" x14ac:dyDescent="0.25">
      <c r="A202" s="92" t="s">
        <v>699</v>
      </c>
      <c r="B202" s="69" t="s">
        <v>700</v>
      </c>
      <c r="C202" s="306" t="s">
        <v>701</v>
      </c>
      <c r="D202" s="307"/>
      <c r="E202" s="69" t="s">
        <v>482</v>
      </c>
      <c r="F202" s="77">
        <v>2</v>
      </c>
      <c r="G202" s="218">
        <v>0</v>
      </c>
      <c r="H202" s="77">
        <f>F202*AM202</f>
        <v>0</v>
      </c>
      <c r="I202" s="77">
        <f>F202*AN202</f>
        <v>0</v>
      </c>
      <c r="J202" s="77">
        <f>F202*G202</f>
        <v>0</v>
      </c>
      <c r="K202" s="77">
        <v>6.7000000000000002E-4</v>
      </c>
      <c r="L202" s="77">
        <f>F202*K202</f>
        <v>1.34E-3</v>
      </c>
      <c r="M202" s="103" t="s">
        <v>35</v>
      </c>
      <c r="X202" s="77">
        <f>IF(AO202="5",BH202,0)</f>
        <v>0</v>
      </c>
      <c r="Z202" s="77">
        <f>IF(AO202="1",BF202,0)</f>
        <v>0</v>
      </c>
      <c r="AA202" s="77">
        <f>IF(AO202="1",BG202,0)</f>
        <v>0</v>
      </c>
      <c r="AB202" s="77">
        <f>IF(AO202="7",BF202,0)</f>
        <v>0</v>
      </c>
      <c r="AC202" s="77">
        <f>IF(AO202="7",BG202,0)</f>
        <v>0</v>
      </c>
      <c r="AD202" s="77">
        <f>IF(AO202="2",BF202,0)</f>
        <v>0</v>
      </c>
      <c r="AE202" s="77">
        <f>IF(AO202="2",BG202,0)</f>
        <v>0</v>
      </c>
      <c r="AF202" s="77">
        <f>IF(AO202="0",BH202,0)</f>
        <v>0</v>
      </c>
      <c r="AG202" s="71" t="s">
        <v>129</v>
      </c>
      <c r="AH202" s="77">
        <f>IF(AL202=0,J202,0)</f>
        <v>0</v>
      </c>
      <c r="AI202" s="77">
        <f>IF(AL202=15,J202,0)</f>
        <v>0</v>
      </c>
      <c r="AJ202" s="77">
        <f>IF(AL202=21,J202,0)</f>
        <v>0</v>
      </c>
      <c r="AL202" s="77">
        <v>21</v>
      </c>
      <c r="AM202" s="77">
        <f>G202*1</f>
        <v>0</v>
      </c>
      <c r="AN202" s="77">
        <f>G202*(1-1)</f>
        <v>0</v>
      </c>
      <c r="AO202" s="79" t="s">
        <v>130</v>
      </c>
      <c r="AT202" s="77">
        <f>AU202+AV202</f>
        <v>0</v>
      </c>
      <c r="AU202" s="77">
        <f>F202*AM202</f>
        <v>0</v>
      </c>
      <c r="AV202" s="77">
        <f>F202*AN202</f>
        <v>0</v>
      </c>
      <c r="AW202" s="79" t="s">
        <v>416</v>
      </c>
      <c r="AX202" s="79" t="s">
        <v>417</v>
      </c>
      <c r="AY202" s="71" t="s">
        <v>137</v>
      </c>
      <c r="BA202" s="77">
        <f>AU202+AV202</f>
        <v>0</v>
      </c>
      <c r="BB202" s="77">
        <f>G202/(100-BC202)*100</f>
        <v>0</v>
      </c>
      <c r="BC202" s="77">
        <v>0</v>
      </c>
      <c r="BD202" s="77">
        <f>L202</f>
        <v>1.34E-3</v>
      </c>
      <c r="BF202" s="77">
        <f>F202*AM202</f>
        <v>0</v>
      </c>
      <c r="BG202" s="77">
        <f>F202*AN202</f>
        <v>0</v>
      </c>
      <c r="BH202" s="77">
        <f>F202*G202</f>
        <v>0</v>
      </c>
      <c r="BI202" s="77"/>
      <c r="BJ202" s="77"/>
      <c r="BU202" s="77" t="e">
        <f>#REF!</f>
        <v>#REF!</v>
      </c>
      <c r="BV202" s="70" t="s">
        <v>701</v>
      </c>
    </row>
    <row r="203" spans="1:74" x14ac:dyDescent="0.25">
      <c r="A203" s="92" t="s">
        <v>702</v>
      </c>
      <c r="B203" s="69" t="s">
        <v>703</v>
      </c>
      <c r="C203" s="306" t="s">
        <v>704</v>
      </c>
      <c r="D203" s="307"/>
      <c r="E203" s="69" t="s">
        <v>325</v>
      </c>
      <c r="F203" s="77">
        <v>1</v>
      </c>
      <c r="G203" s="218">
        <v>0</v>
      </c>
      <c r="H203" s="77">
        <f>F203*AM203</f>
        <v>0</v>
      </c>
      <c r="I203" s="77">
        <f>F203*AN203</f>
        <v>0</v>
      </c>
      <c r="J203" s="77">
        <f>F203*G203</f>
        <v>0</v>
      </c>
      <c r="K203" s="77">
        <v>3.8E-3</v>
      </c>
      <c r="L203" s="77">
        <f>F203*K203</f>
        <v>3.8E-3</v>
      </c>
      <c r="M203" s="103" t="s">
        <v>35</v>
      </c>
      <c r="X203" s="77">
        <f>IF(AO203="5",BH203,0)</f>
        <v>0</v>
      </c>
      <c r="Z203" s="77">
        <f>IF(AO203="1",BF203,0)</f>
        <v>0</v>
      </c>
      <c r="AA203" s="77">
        <f>IF(AO203="1",BG203,0)</f>
        <v>0</v>
      </c>
      <c r="AB203" s="77">
        <f>IF(AO203="7",BF203,0)</f>
        <v>0</v>
      </c>
      <c r="AC203" s="77">
        <f>IF(AO203="7",BG203,0)</f>
        <v>0</v>
      </c>
      <c r="AD203" s="77">
        <f>IF(AO203="2",BF203,0)</f>
        <v>0</v>
      </c>
      <c r="AE203" s="77">
        <f>IF(AO203="2",BG203,0)</f>
        <v>0</v>
      </c>
      <c r="AF203" s="77">
        <f>IF(AO203="0",BH203,0)</f>
        <v>0</v>
      </c>
      <c r="AG203" s="71" t="s">
        <v>129</v>
      </c>
      <c r="AH203" s="77">
        <f>IF(AL203=0,J203,0)</f>
        <v>0</v>
      </c>
      <c r="AI203" s="77">
        <f>IF(AL203=15,J203,0)</f>
        <v>0</v>
      </c>
      <c r="AJ203" s="77">
        <f>IF(AL203=21,J203,0)</f>
        <v>0</v>
      </c>
      <c r="AL203" s="77">
        <v>21</v>
      </c>
      <c r="AM203" s="77">
        <f>G203*1</f>
        <v>0</v>
      </c>
      <c r="AN203" s="77">
        <f>G203*(1-1)</f>
        <v>0</v>
      </c>
      <c r="AO203" s="79" t="s">
        <v>130</v>
      </c>
      <c r="AT203" s="77">
        <f>AU203+AV203</f>
        <v>0</v>
      </c>
      <c r="AU203" s="77">
        <f>F203*AM203</f>
        <v>0</v>
      </c>
      <c r="AV203" s="77">
        <f>F203*AN203</f>
        <v>0</v>
      </c>
      <c r="AW203" s="79" t="s">
        <v>416</v>
      </c>
      <c r="AX203" s="79" t="s">
        <v>417</v>
      </c>
      <c r="AY203" s="71" t="s">
        <v>137</v>
      </c>
      <c r="BA203" s="77">
        <f>AU203+AV203</f>
        <v>0</v>
      </c>
      <c r="BB203" s="77">
        <f>G203/(100-BC203)*100</f>
        <v>0</v>
      </c>
      <c r="BC203" s="77">
        <v>0</v>
      </c>
      <c r="BD203" s="77">
        <f>L203</f>
        <v>3.8E-3</v>
      </c>
      <c r="BF203" s="77">
        <f>F203*AM203</f>
        <v>0</v>
      </c>
      <c r="BG203" s="77">
        <f>F203*AN203</f>
        <v>0</v>
      </c>
      <c r="BH203" s="77">
        <f>F203*G203</f>
        <v>0</v>
      </c>
      <c r="BI203" s="77"/>
      <c r="BJ203" s="77"/>
      <c r="BU203" s="77" t="e">
        <f>#REF!</f>
        <v>#REF!</v>
      </c>
      <c r="BV203" s="70" t="s">
        <v>704</v>
      </c>
    </row>
    <row r="204" spans="1:74" x14ac:dyDescent="0.25">
      <c r="A204" s="92" t="s">
        <v>705</v>
      </c>
      <c r="B204" s="69" t="s">
        <v>706</v>
      </c>
      <c r="C204" s="306" t="s">
        <v>707</v>
      </c>
      <c r="D204" s="307"/>
      <c r="E204" s="69" t="s">
        <v>145</v>
      </c>
      <c r="F204" s="77">
        <v>106.26</v>
      </c>
      <c r="G204" s="218">
        <v>0</v>
      </c>
      <c r="H204" s="77">
        <f>F204*AM204</f>
        <v>0</v>
      </c>
      <c r="I204" s="77">
        <f>F204*AN204</f>
        <v>0</v>
      </c>
      <c r="J204" s="77">
        <f>F204*G204</f>
        <v>0</v>
      </c>
      <c r="K204" s="77">
        <v>8.0000000000000007E-5</v>
      </c>
      <c r="L204" s="77">
        <f>F204*K204</f>
        <v>8.5008000000000011E-3</v>
      </c>
      <c r="M204" s="103" t="s">
        <v>35</v>
      </c>
      <c r="X204" s="77">
        <f>IF(AO204="5",BH204,0)</f>
        <v>0</v>
      </c>
      <c r="Z204" s="77">
        <f>IF(AO204="1",BF204,0)</f>
        <v>0</v>
      </c>
      <c r="AA204" s="77">
        <f>IF(AO204="1",BG204,0)</f>
        <v>0</v>
      </c>
      <c r="AB204" s="77">
        <f>IF(AO204="7",BF204,0)</f>
        <v>0</v>
      </c>
      <c r="AC204" s="77">
        <f>IF(AO204="7",BG204,0)</f>
        <v>0</v>
      </c>
      <c r="AD204" s="77">
        <f>IF(AO204="2",BF204,0)</f>
        <v>0</v>
      </c>
      <c r="AE204" s="77">
        <f>IF(AO204="2",BG204,0)</f>
        <v>0</v>
      </c>
      <c r="AF204" s="77">
        <f>IF(AO204="0",BH204,0)</f>
        <v>0</v>
      </c>
      <c r="AG204" s="71" t="s">
        <v>129</v>
      </c>
      <c r="AH204" s="77">
        <f>IF(AL204=0,J204,0)</f>
        <v>0</v>
      </c>
      <c r="AI204" s="77">
        <f>IF(AL204=15,J204,0)</f>
        <v>0</v>
      </c>
      <c r="AJ204" s="77">
        <f>IF(AL204=21,J204,0)</f>
        <v>0</v>
      </c>
      <c r="AL204" s="77">
        <v>21</v>
      </c>
      <c r="AM204" s="77">
        <f>G204*1</f>
        <v>0</v>
      </c>
      <c r="AN204" s="77">
        <f>G204*(1-1)</f>
        <v>0</v>
      </c>
      <c r="AO204" s="79" t="s">
        <v>130</v>
      </c>
      <c r="AT204" s="77">
        <f>AU204+AV204</f>
        <v>0</v>
      </c>
      <c r="AU204" s="77">
        <f>F204*AM204</f>
        <v>0</v>
      </c>
      <c r="AV204" s="77">
        <f>F204*AN204</f>
        <v>0</v>
      </c>
      <c r="AW204" s="79" t="s">
        <v>416</v>
      </c>
      <c r="AX204" s="79" t="s">
        <v>417</v>
      </c>
      <c r="AY204" s="71" t="s">
        <v>137</v>
      </c>
      <c r="BA204" s="77">
        <f>AU204+AV204</f>
        <v>0</v>
      </c>
      <c r="BB204" s="77">
        <f>G204/(100-BC204)*100</f>
        <v>0</v>
      </c>
      <c r="BC204" s="77">
        <v>0</v>
      </c>
      <c r="BD204" s="77">
        <f>L204</f>
        <v>8.5008000000000011E-3</v>
      </c>
      <c r="BF204" s="77">
        <f>F204*AM204</f>
        <v>0</v>
      </c>
      <c r="BG204" s="77">
        <f>F204*AN204</f>
        <v>0</v>
      </c>
      <c r="BH204" s="77">
        <f>F204*G204</f>
        <v>0</v>
      </c>
      <c r="BI204" s="77"/>
      <c r="BJ204" s="77"/>
      <c r="BU204" s="77" t="e">
        <f>#REF!</f>
        <v>#REF!</v>
      </c>
      <c r="BV204" s="70" t="s">
        <v>707</v>
      </c>
    </row>
    <row r="205" spans="1:74" ht="40.5" customHeight="1" x14ac:dyDescent="0.25">
      <c r="A205" s="104"/>
      <c r="B205" s="81" t="s">
        <v>138</v>
      </c>
      <c r="C205" s="303" t="s">
        <v>708</v>
      </c>
      <c r="D205" s="304"/>
      <c r="E205" s="304"/>
      <c r="F205" s="304"/>
      <c r="G205" s="304"/>
      <c r="H205" s="304"/>
      <c r="I205" s="304"/>
      <c r="J205" s="304"/>
      <c r="K205" s="304"/>
      <c r="L205" s="304"/>
      <c r="M205" s="305"/>
    </row>
    <row r="206" spans="1:74" x14ac:dyDescent="0.25">
      <c r="A206" s="92" t="s">
        <v>709</v>
      </c>
      <c r="B206" s="69" t="s">
        <v>710</v>
      </c>
      <c r="C206" s="306" t="s">
        <v>711</v>
      </c>
      <c r="D206" s="307"/>
      <c r="E206" s="69" t="s">
        <v>712</v>
      </c>
      <c r="F206" s="77">
        <v>1</v>
      </c>
      <c r="G206" s="218">
        <v>0</v>
      </c>
      <c r="H206" s="77">
        <f>F206*AM206</f>
        <v>0</v>
      </c>
      <c r="I206" s="77">
        <f>F206*AN206</f>
        <v>0</v>
      </c>
      <c r="J206" s="77">
        <f>F206*G206</f>
        <v>0</v>
      </c>
      <c r="K206" s="77">
        <v>0</v>
      </c>
      <c r="L206" s="77">
        <f>F206*K206</f>
        <v>0</v>
      </c>
      <c r="M206" s="103" t="s">
        <v>35</v>
      </c>
      <c r="X206" s="77">
        <f>IF(AO206="5",BH206,0)</f>
        <v>0</v>
      </c>
      <c r="Z206" s="77">
        <f>IF(AO206="1",BF206,0)</f>
        <v>0</v>
      </c>
      <c r="AA206" s="77">
        <f>IF(AO206="1",BG206,0)</f>
        <v>0</v>
      </c>
      <c r="AB206" s="77">
        <f>IF(AO206="7",BF206,0)</f>
        <v>0</v>
      </c>
      <c r="AC206" s="77">
        <f>IF(AO206="7",BG206,0)</f>
        <v>0</v>
      </c>
      <c r="AD206" s="77">
        <f>IF(AO206="2",BF206,0)</f>
        <v>0</v>
      </c>
      <c r="AE206" s="77">
        <f>IF(AO206="2",BG206,0)</f>
        <v>0</v>
      </c>
      <c r="AF206" s="77">
        <f>IF(AO206="0",BH206,0)</f>
        <v>0</v>
      </c>
      <c r="AG206" s="71" t="s">
        <v>129</v>
      </c>
      <c r="AH206" s="77">
        <f>IF(AL206=0,J206,0)</f>
        <v>0</v>
      </c>
      <c r="AI206" s="77">
        <f>IF(AL206=15,J206,0)</f>
        <v>0</v>
      </c>
      <c r="AJ206" s="77">
        <f>IF(AL206=21,J206,0)</f>
        <v>0</v>
      </c>
      <c r="AL206" s="77">
        <v>21</v>
      </c>
      <c r="AM206" s="77">
        <f>G206*1</f>
        <v>0</v>
      </c>
      <c r="AN206" s="77">
        <f>G206*(1-1)</f>
        <v>0</v>
      </c>
      <c r="AO206" s="79" t="s">
        <v>130</v>
      </c>
      <c r="AT206" s="77">
        <f>AU206+AV206</f>
        <v>0</v>
      </c>
      <c r="AU206" s="77">
        <f>F206*AM206</f>
        <v>0</v>
      </c>
      <c r="AV206" s="77">
        <f>F206*AN206</f>
        <v>0</v>
      </c>
      <c r="AW206" s="79" t="s">
        <v>416</v>
      </c>
      <c r="AX206" s="79" t="s">
        <v>417</v>
      </c>
      <c r="AY206" s="71" t="s">
        <v>137</v>
      </c>
      <c r="BA206" s="77">
        <f>AU206+AV206</f>
        <v>0</v>
      </c>
      <c r="BB206" s="77">
        <f>G206/(100-BC206)*100</f>
        <v>0</v>
      </c>
      <c r="BC206" s="77">
        <v>0</v>
      </c>
      <c r="BD206" s="77">
        <f>L206</f>
        <v>0</v>
      </c>
      <c r="BF206" s="77">
        <f>F206*AM206</f>
        <v>0</v>
      </c>
      <c r="BG206" s="77">
        <f>F206*AN206</f>
        <v>0</v>
      </c>
      <c r="BH206" s="77">
        <f>F206*G206</f>
        <v>0</v>
      </c>
      <c r="BI206" s="77"/>
      <c r="BJ206" s="77"/>
      <c r="BU206" s="77" t="e">
        <f>#REF!</f>
        <v>#REF!</v>
      </c>
      <c r="BV206" s="70" t="s">
        <v>711</v>
      </c>
    </row>
    <row r="207" spans="1:74" ht="27" customHeight="1" x14ac:dyDescent="0.25">
      <c r="A207" s="104"/>
      <c r="B207" s="81" t="s">
        <v>138</v>
      </c>
      <c r="C207" s="303" t="s">
        <v>713</v>
      </c>
      <c r="D207" s="304"/>
      <c r="E207" s="304"/>
      <c r="F207" s="304"/>
      <c r="G207" s="304"/>
      <c r="H207" s="304"/>
      <c r="I207" s="304"/>
      <c r="J207" s="304"/>
      <c r="K207" s="304"/>
      <c r="L207" s="304"/>
      <c r="M207" s="305"/>
    </row>
    <row r="208" spans="1:74" x14ac:dyDescent="0.25">
      <c r="A208" s="92" t="s">
        <v>714</v>
      </c>
      <c r="B208" s="69" t="s">
        <v>715</v>
      </c>
      <c r="C208" s="306" t="s">
        <v>716</v>
      </c>
      <c r="D208" s="307"/>
      <c r="E208" s="69" t="s">
        <v>325</v>
      </c>
      <c r="F208" s="77">
        <v>33</v>
      </c>
      <c r="G208" s="218">
        <v>0</v>
      </c>
      <c r="H208" s="77">
        <f>F208*AM208</f>
        <v>0</v>
      </c>
      <c r="I208" s="77">
        <f>F208*AN208</f>
        <v>0</v>
      </c>
      <c r="J208" s="77">
        <f>F208*G208</f>
        <v>0</v>
      </c>
      <c r="K208" s="77">
        <v>4.4999999999999998E-2</v>
      </c>
      <c r="L208" s="77">
        <f>F208*K208</f>
        <v>1.4849999999999999</v>
      </c>
      <c r="M208" s="103" t="s">
        <v>35</v>
      </c>
      <c r="X208" s="77">
        <f>IF(AO208="5",BH208,0)</f>
        <v>0</v>
      </c>
      <c r="Z208" s="77">
        <f>IF(AO208="1",BF208,0)</f>
        <v>0</v>
      </c>
      <c r="AA208" s="77">
        <f>IF(AO208="1",BG208,0)</f>
        <v>0</v>
      </c>
      <c r="AB208" s="77">
        <f>IF(AO208="7",BF208,0)</f>
        <v>0</v>
      </c>
      <c r="AC208" s="77">
        <f>IF(AO208="7",BG208,0)</f>
        <v>0</v>
      </c>
      <c r="AD208" s="77">
        <f>IF(AO208="2",BF208,0)</f>
        <v>0</v>
      </c>
      <c r="AE208" s="77">
        <f>IF(AO208="2",BG208,0)</f>
        <v>0</v>
      </c>
      <c r="AF208" s="77">
        <f>IF(AO208="0",BH208,0)</f>
        <v>0</v>
      </c>
      <c r="AG208" s="71" t="s">
        <v>129</v>
      </c>
      <c r="AH208" s="77">
        <f>IF(AL208=0,J208,0)</f>
        <v>0</v>
      </c>
      <c r="AI208" s="77">
        <f>IF(AL208=15,J208,0)</f>
        <v>0</v>
      </c>
      <c r="AJ208" s="77">
        <f>IF(AL208=21,J208,0)</f>
        <v>0</v>
      </c>
      <c r="AL208" s="77">
        <v>21</v>
      </c>
      <c r="AM208" s="77">
        <f>G208*1</f>
        <v>0</v>
      </c>
      <c r="AN208" s="77">
        <f>G208*(1-1)</f>
        <v>0</v>
      </c>
      <c r="AO208" s="79" t="s">
        <v>130</v>
      </c>
      <c r="AT208" s="77">
        <f>AU208+AV208</f>
        <v>0</v>
      </c>
      <c r="AU208" s="77">
        <f>F208*AM208</f>
        <v>0</v>
      </c>
      <c r="AV208" s="77">
        <f>F208*AN208</f>
        <v>0</v>
      </c>
      <c r="AW208" s="79" t="s">
        <v>416</v>
      </c>
      <c r="AX208" s="79" t="s">
        <v>417</v>
      </c>
      <c r="AY208" s="71" t="s">
        <v>137</v>
      </c>
      <c r="BA208" s="77">
        <f>AU208+AV208</f>
        <v>0</v>
      </c>
      <c r="BB208" s="77">
        <f>G208/(100-BC208)*100</f>
        <v>0</v>
      </c>
      <c r="BC208" s="77">
        <v>0</v>
      </c>
      <c r="BD208" s="77">
        <f>L208</f>
        <v>1.4849999999999999</v>
      </c>
      <c r="BF208" s="77">
        <f>F208*AM208</f>
        <v>0</v>
      </c>
      <c r="BG208" s="77">
        <f>F208*AN208</f>
        <v>0</v>
      </c>
      <c r="BH208" s="77">
        <f>F208*G208</f>
        <v>0</v>
      </c>
      <c r="BI208" s="77"/>
      <c r="BJ208" s="77"/>
      <c r="BU208" s="77" t="e">
        <f>#REF!</f>
        <v>#REF!</v>
      </c>
      <c r="BV208" s="70" t="s">
        <v>716</v>
      </c>
    </row>
    <row r="209" spans="1:74" ht="81" customHeight="1" x14ac:dyDescent="0.25">
      <c r="A209" s="104"/>
      <c r="B209" s="81" t="s">
        <v>138</v>
      </c>
      <c r="C209" s="303" t="s">
        <v>717</v>
      </c>
      <c r="D209" s="304"/>
      <c r="E209" s="304"/>
      <c r="F209" s="304"/>
      <c r="G209" s="304"/>
      <c r="H209" s="304"/>
      <c r="I209" s="304"/>
      <c r="J209" s="304"/>
      <c r="K209" s="304"/>
      <c r="L209" s="304"/>
      <c r="M209" s="305"/>
    </row>
    <row r="210" spans="1:74" x14ac:dyDescent="0.25">
      <c r="A210" s="92" t="s">
        <v>718</v>
      </c>
      <c r="B210" s="69" t="s">
        <v>719</v>
      </c>
      <c r="C210" s="306" t="s">
        <v>720</v>
      </c>
      <c r="D210" s="307"/>
      <c r="E210" s="69" t="s">
        <v>177</v>
      </c>
      <c r="F210" s="77">
        <v>0.66</v>
      </c>
      <c r="G210" s="218">
        <v>0</v>
      </c>
      <c r="H210" s="77">
        <f>F210*AM210</f>
        <v>0</v>
      </c>
      <c r="I210" s="77">
        <f>F210*AN210</f>
        <v>0</v>
      </c>
      <c r="J210" s="77">
        <f>F210*G210</f>
        <v>0</v>
      </c>
      <c r="K210" s="77">
        <v>0.55000000000000004</v>
      </c>
      <c r="L210" s="77">
        <f>F210*K210</f>
        <v>0.36300000000000004</v>
      </c>
      <c r="M210" s="103" t="s">
        <v>35</v>
      </c>
      <c r="X210" s="77">
        <f>IF(AO210="5",BH210,0)</f>
        <v>0</v>
      </c>
      <c r="Z210" s="77">
        <f>IF(AO210="1",BF210,0)</f>
        <v>0</v>
      </c>
      <c r="AA210" s="77">
        <f>IF(AO210="1",BG210,0)</f>
        <v>0</v>
      </c>
      <c r="AB210" s="77">
        <f>IF(AO210="7",BF210,0)</f>
        <v>0</v>
      </c>
      <c r="AC210" s="77">
        <f>IF(AO210="7",BG210,0)</f>
        <v>0</v>
      </c>
      <c r="AD210" s="77">
        <f>IF(AO210="2",BF210,0)</f>
        <v>0</v>
      </c>
      <c r="AE210" s="77">
        <f>IF(AO210="2",BG210,0)</f>
        <v>0</v>
      </c>
      <c r="AF210" s="77">
        <f>IF(AO210="0",BH210,0)</f>
        <v>0</v>
      </c>
      <c r="AG210" s="71" t="s">
        <v>129</v>
      </c>
      <c r="AH210" s="77">
        <f>IF(AL210=0,J210,0)</f>
        <v>0</v>
      </c>
      <c r="AI210" s="77">
        <f>IF(AL210=15,J210,0)</f>
        <v>0</v>
      </c>
      <c r="AJ210" s="77">
        <f>IF(AL210=21,J210,0)</f>
        <v>0</v>
      </c>
      <c r="AL210" s="77">
        <v>21</v>
      </c>
      <c r="AM210" s="77">
        <f>G210*1</f>
        <v>0</v>
      </c>
      <c r="AN210" s="77">
        <f>G210*(1-1)</f>
        <v>0</v>
      </c>
      <c r="AO210" s="79" t="s">
        <v>130</v>
      </c>
      <c r="AT210" s="77">
        <f>AU210+AV210</f>
        <v>0</v>
      </c>
      <c r="AU210" s="77">
        <f>F210*AM210</f>
        <v>0</v>
      </c>
      <c r="AV210" s="77">
        <f>F210*AN210</f>
        <v>0</v>
      </c>
      <c r="AW210" s="79" t="s">
        <v>416</v>
      </c>
      <c r="AX210" s="79" t="s">
        <v>417</v>
      </c>
      <c r="AY210" s="71" t="s">
        <v>137</v>
      </c>
      <c r="BA210" s="77">
        <f>AU210+AV210</f>
        <v>0</v>
      </c>
      <c r="BB210" s="77">
        <f>G210/(100-BC210)*100</f>
        <v>0</v>
      </c>
      <c r="BC210" s="77">
        <v>0</v>
      </c>
      <c r="BD210" s="77">
        <f>L210</f>
        <v>0.36300000000000004</v>
      </c>
      <c r="BF210" s="77">
        <f>F210*AM210</f>
        <v>0</v>
      </c>
      <c r="BG210" s="77">
        <f>F210*AN210</f>
        <v>0</v>
      </c>
      <c r="BH210" s="77">
        <f>F210*G210</f>
        <v>0</v>
      </c>
      <c r="BI210" s="77"/>
      <c r="BJ210" s="77"/>
      <c r="BU210" s="77" t="e">
        <f>#REF!</f>
        <v>#REF!</v>
      </c>
      <c r="BV210" s="70" t="s">
        <v>720</v>
      </c>
    </row>
    <row r="211" spans="1:74" ht="94.5" customHeight="1" thickBot="1" x14ac:dyDescent="0.3">
      <c r="A211" s="107"/>
      <c r="B211" s="108" t="s">
        <v>138</v>
      </c>
      <c r="C211" s="308" t="s">
        <v>721</v>
      </c>
      <c r="D211" s="309"/>
      <c r="E211" s="309"/>
      <c r="F211" s="309"/>
      <c r="G211" s="309"/>
      <c r="H211" s="309"/>
      <c r="I211" s="309"/>
      <c r="J211" s="309"/>
      <c r="K211" s="309"/>
      <c r="L211" s="309"/>
      <c r="M211" s="310"/>
    </row>
    <row r="212" spans="1:74" x14ac:dyDescent="0.25">
      <c r="H212" s="311" t="s">
        <v>475</v>
      </c>
      <c r="I212" s="311"/>
      <c r="J212" s="84">
        <f>J12+J15+J18+J31+J34+J49+J54+J67+J73+J78+J83+J88+J91+J100+J111+J137+J140+J147+J150+J152+J154+J157+J160+J163+J170</f>
        <v>0</v>
      </c>
    </row>
    <row r="213" spans="1:74" x14ac:dyDescent="0.25">
      <c r="A213" s="85" t="s">
        <v>138</v>
      </c>
    </row>
    <row r="214" spans="1:74" ht="13.5" customHeight="1" x14ac:dyDescent="0.25">
      <c r="A214" s="306" t="s">
        <v>722</v>
      </c>
      <c r="B214" s="307"/>
      <c r="C214" s="307"/>
      <c r="D214" s="307"/>
      <c r="E214" s="307"/>
      <c r="F214" s="307"/>
      <c r="G214" s="307"/>
      <c r="H214" s="307"/>
      <c r="I214" s="307"/>
      <c r="J214" s="307"/>
      <c r="K214" s="307"/>
      <c r="L214" s="307"/>
      <c r="M214" s="307"/>
    </row>
  </sheetData>
  <sheetProtection algorithmName="SHA-512" hashValue="RwL1mYyfqijY7E0fjVASgIMCpA6eAKf3bbO6QNjnhBU2OrIu6qd5fAMEN9df7b1y6l0YfuFNN8oMwSfA5iOtqg==" saltValue="77SkXU/xZB6vz96OQIcJDg==" spinCount="100000" sheet="1" formatCells="0" formatColumns="0" formatRows="0" insertColumns="0" insertRows="0" insertHyperlinks="0"/>
  <mergeCells count="231">
    <mergeCell ref="A1:M1"/>
    <mergeCell ref="A2:B3"/>
    <mergeCell ref="C2:D3"/>
    <mergeCell ref="E2:F3"/>
    <mergeCell ref="G2:G3"/>
    <mergeCell ref="A8:B9"/>
    <mergeCell ref="C8:D9"/>
    <mergeCell ref="E8:F9"/>
    <mergeCell ref="G8:G9"/>
    <mergeCell ref="H2:H3"/>
    <mergeCell ref="I2:M3"/>
    <mergeCell ref="C10:D10"/>
    <mergeCell ref="H10:J10"/>
    <mergeCell ref="K10:L10"/>
    <mergeCell ref="A4:B5"/>
    <mergeCell ref="C4:D5"/>
    <mergeCell ref="E4:F5"/>
    <mergeCell ref="G4:G5"/>
    <mergeCell ref="A6:B7"/>
    <mergeCell ref="C6:D7"/>
    <mergeCell ref="E6:F7"/>
    <mergeCell ref="G6:G7"/>
    <mergeCell ref="H4:H5"/>
    <mergeCell ref="I4:M5"/>
    <mergeCell ref="H6:H7"/>
    <mergeCell ref="I6:M7"/>
    <mergeCell ref="H8:H9"/>
    <mergeCell ref="I8:M9"/>
    <mergeCell ref="C17:M17"/>
    <mergeCell ref="C18:D18"/>
    <mergeCell ref="C19:D19"/>
    <mergeCell ref="C20:M20"/>
    <mergeCell ref="C21:D21"/>
    <mergeCell ref="C22:M22"/>
    <mergeCell ref="C11:D11"/>
    <mergeCell ref="C12:D12"/>
    <mergeCell ref="C13:D13"/>
    <mergeCell ref="C14:M14"/>
    <mergeCell ref="C15:D15"/>
    <mergeCell ref="C16:D16"/>
    <mergeCell ref="C29:D29"/>
    <mergeCell ref="C30:M30"/>
    <mergeCell ref="C31:D31"/>
    <mergeCell ref="C32:D32"/>
    <mergeCell ref="C33:M33"/>
    <mergeCell ref="C34:D34"/>
    <mergeCell ref="C23:D23"/>
    <mergeCell ref="C24:M24"/>
    <mergeCell ref="C25:D25"/>
    <mergeCell ref="C26:M26"/>
    <mergeCell ref="C27:D27"/>
    <mergeCell ref="C28:M28"/>
    <mergeCell ref="C41:D41"/>
    <mergeCell ref="C42:M42"/>
    <mergeCell ref="C43:D43"/>
    <mergeCell ref="C44:M44"/>
    <mergeCell ref="C45:D45"/>
    <mergeCell ref="C46:M46"/>
    <mergeCell ref="C35:D35"/>
    <mergeCell ref="C36:M36"/>
    <mergeCell ref="C37:D37"/>
    <mergeCell ref="C38:M38"/>
    <mergeCell ref="C39:D39"/>
    <mergeCell ref="C40:M40"/>
    <mergeCell ref="C53:M53"/>
    <mergeCell ref="C54:D54"/>
    <mergeCell ref="C55:D55"/>
    <mergeCell ref="C56:M56"/>
    <mergeCell ref="C57:D57"/>
    <mergeCell ref="C58:M58"/>
    <mergeCell ref="C47:D47"/>
    <mergeCell ref="C48:M48"/>
    <mergeCell ref="C49:D49"/>
    <mergeCell ref="C50:D50"/>
    <mergeCell ref="C51:M51"/>
    <mergeCell ref="C52:D52"/>
    <mergeCell ref="C65:D65"/>
    <mergeCell ref="C66:M66"/>
    <mergeCell ref="C67:D67"/>
    <mergeCell ref="C68:D68"/>
    <mergeCell ref="C69:M69"/>
    <mergeCell ref="C70:D70"/>
    <mergeCell ref="C59:D59"/>
    <mergeCell ref="C60:M60"/>
    <mergeCell ref="C61:D61"/>
    <mergeCell ref="C62:M62"/>
    <mergeCell ref="C63:D63"/>
    <mergeCell ref="C64:M64"/>
    <mergeCell ref="C77:M77"/>
    <mergeCell ref="C78:D78"/>
    <mergeCell ref="C79:D79"/>
    <mergeCell ref="C80:M80"/>
    <mergeCell ref="C81:D81"/>
    <mergeCell ref="C82:M82"/>
    <mergeCell ref="C71:D71"/>
    <mergeCell ref="C72:M72"/>
    <mergeCell ref="C73:D73"/>
    <mergeCell ref="C74:D74"/>
    <mergeCell ref="C75:M75"/>
    <mergeCell ref="C76:D76"/>
    <mergeCell ref="C89:D89"/>
    <mergeCell ref="C90:M90"/>
    <mergeCell ref="C91:D91"/>
    <mergeCell ref="C92:D92"/>
    <mergeCell ref="C93:M93"/>
    <mergeCell ref="C94:D94"/>
    <mergeCell ref="C83:D83"/>
    <mergeCell ref="C84:D84"/>
    <mergeCell ref="C85:M85"/>
    <mergeCell ref="C86:D86"/>
    <mergeCell ref="C87:M87"/>
    <mergeCell ref="C88:D88"/>
    <mergeCell ref="C101:D101"/>
    <mergeCell ref="C102:M102"/>
    <mergeCell ref="C103:D103"/>
    <mergeCell ref="C104:M104"/>
    <mergeCell ref="C105:D105"/>
    <mergeCell ref="C106:M106"/>
    <mergeCell ref="C95:M95"/>
    <mergeCell ref="C96:D96"/>
    <mergeCell ref="C97:M97"/>
    <mergeCell ref="C98:D98"/>
    <mergeCell ref="C99:M99"/>
    <mergeCell ref="C100:D100"/>
    <mergeCell ref="C113:M113"/>
    <mergeCell ref="C114:D114"/>
    <mergeCell ref="C115:M115"/>
    <mergeCell ref="C116:D116"/>
    <mergeCell ref="C117:M117"/>
    <mergeCell ref="C118:D118"/>
    <mergeCell ref="C107:D107"/>
    <mergeCell ref="C108:M108"/>
    <mergeCell ref="C109:D109"/>
    <mergeCell ref="C110:M110"/>
    <mergeCell ref="C111:D111"/>
    <mergeCell ref="C112:D112"/>
    <mergeCell ref="C125:M125"/>
    <mergeCell ref="C126:D126"/>
    <mergeCell ref="C127:M127"/>
    <mergeCell ref="C128:D128"/>
    <mergeCell ref="C129:M129"/>
    <mergeCell ref="C130:D130"/>
    <mergeCell ref="C119:M119"/>
    <mergeCell ref="C120:D120"/>
    <mergeCell ref="C121:M121"/>
    <mergeCell ref="C122:D122"/>
    <mergeCell ref="C123:M123"/>
    <mergeCell ref="C124:D124"/>
    <mergeCell ref="C137:D137"/>
    <mergeCell ref="C138:D138"/>
    <mergeCell ref="C139:M139"/>
    <mergeCell ref="C140:D140"/>
    <mergeCell ref="C141:D141"/>
    <mergeCell ref="C142:D142"/>
    <mergeCell ref="C131:M131"/>
    <mergeCell ref="C132:D132"/>
    <mergeCell ref="C133:M133"/>
    <mergeCell ref="C134:D134"/>
    <mergeCell ref="C135:M135"/>
    <mergeCell ref="C136:D136"/>
    <mergeCell ref="C149:D149"/>
    <mergeCell ref="C150:D150"/>
    <mergeCell ref="C151:D151"/>
    <mergeCell ref="C152:D152"/>
    <mergeCell ref="C153:D153"/>
    <mergeCell ref="C154:D154"/>
    <mergeCell ref="C143:M143"/>
    <mergeCell ref="C144:D144"/>
    <mergeCell ref="C145:M145"/>
    <mergeCell ref="C146:D146"/>
    <mergeCell ref="C147:D147"/>
    <mergeCell ref="C148:D148"/>
    <mergeCell ref="C161:D161"/>
    <mergeCell ref="C162:M162"/>
    <mergeCell ref="C163:D163"/>
    <mergeCell ref="C164:D164"/>
    <mergeCell ref="C165:M165"/>
    <mergeCell ref="C166:D166"/>
    <mergeCell ref="C155:D155"/>
    <mergeCell ref="C156:M156"/>
    <mergeCell ref="C157:D157"/>
    <mergeCell ref="C158:D158"/>
    <mergeCell ref="C159:M159"/>
    <mergeCell ref="C160:D160"/>
    <mergeCell ref="C173:D173"/>
    <mergeCell ref="C174:D174"/>
    <mergeCell ref="C175:D175"/>
    <mergeCell ref="C176:D176"/>
    <mergeCell ref="C177:D177"/>
    <mergeCell ref="C178:D178"/>
    <mergeCell ref="C167:M167"/>
    <mergeCell ref="C168:D168"/>
    <mergeCell ref="C169:M169"/>
    <mergeCell ref="C170:D170"/>
    <mergeCell ref="C171:D171"/>
    <mergeCell ref="C172:M172"/>
    <mergeCell ref="C185:D185"/>
    <mergeCell ref="C186:D186"/>
    <mergeCell ref="C187:D187"/>
    <mergeCell ref="C188:D188"/>
    <mergeCell ref="C189:D189"/>
    <mergeCell ref="C190:D190"/>
    <mergeCell ref="C179:D179"/>
    <mergeCell ref="C180:D180"/>
    <mergeCell ref="C181:D181"/>
    <mergeCell ref="C182:D182"/>
    <mergeCell ref="C183:D183"/>
    <mergeCell ref="C184:D184"/>
    <mergeCell ref="C197:D197"/>
    <mergeCell ref="C198:D198"/>
    <mergeCell ref="C199:D199"/>
    <mergeCell ref="C200:D200"/>
    <mergeCell ref="C201:M201"/>
    <mergeCell ref="C202:D202"/>
    <mergeCell ref="C191:D191"/>
    <mergeCell ref="C192:M192"/>
    <mergeCell ref="C193:D193"/>
    <mergeCell ref="C194:D194"/>
    <mergeCell ref="C195:D195"/>
    <mergeCell ref="C196:D196"/>
    <mergeCell ref="C209:M209"/>
    <mergeCell ref="C210:D210"/>
    <mergeCell ref="C211:M211"/>
    <mergeCell ref="H212:I212"/>
    <mergeCell ref="A214:M214"/>
    <mergeCell ref="C203:D203"/>
    <mergeCell ref="C204:D204"/>
    <mergeCell ref="C205:M205"/>
    <mergeCell ref="C206:D206"/>
    <mergeCell ref="C207:M207"/>
    <mergeCell ref="C208:D208"/>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5" manualBreakCount="5">
    <brk id="33" max="12" man="1"/>
    <brk id="62" max="12" man="1"/>
    <brk id="99" max="12" man="1"/>
    <brk id="136" max="12" man="1"/>
    <brk id="172" max="12"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A03B5-AD9E-4A50-A4C2-B09E46E65031}">
  <sheetPr codeName="List3">
    <pageSetUpPr fitToPage="1"/>
  </sheetPr>
  <dimension ref="A1:BV98"/>
  <sheetViews>
    <sheetView view="pageBreakPreview" zoomScale="55" zoomScaleNormal="25" zoomScaleSheetLayoutView="55" workbookViewId="0">
      <pane ySplit="11" topLeftCell="A12" activePane="bottomLeft" state="frozen"/>
      <selection activeCell="D44" sqref="D44"/>
      <selection pane="bottomLeft" activeCell="C44" sqref="C44:M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85</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1069</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1070</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SUM(H13:H19)</f>
        <v>0</v>
      </c>
      <c r="I12" s="100">
        <f>SUM(I13:I19)</f>
        <v>0</v>
      </c>
      <c r="J12" s="100">
        <f>SUM(J13:J19)</f>
        <v>0</v>
      </c>
      <c r="K12" s="101" t="s">
        <v>129</v>
      </c>
      <c r="L12" s="100">
        <f>SUM(L13:L19)</f>
        <v>4.4513460000000009</v>
      </c>
      <c r="M12" s="102" t="s">
        <v>129</v>
      </c>
      <c r="AG12" s="71" t="s">
        <v>129</v>
      </c>
      <c r="AQ12" s="67">
        <f>SUM(AH13:AH19)</f>
        <v>0</v>
      </c>
      <c r="AR12" s="67">
        <f>SUM(AI13:AI19)</f>
        <v>0</v>
      </c>
      <c r="AS12" s="67">
        <f>SUM(AJ13:AJ19)</f>
        <v>0</v>
      </c>
    </row>
    <row r="13" spans="1:74" x14ac:dyDescent="0.25">
      <c r="A13" s="92" t="s">
        <v>132</v>
      </c>
      <c r="B13" s="69" t="s">
        <v>150</v>
      </c>
      <c r="C13" s="306" t="s">
        <v>151</v>
      </c>
      <c r="D13" s="307"/>
      <c r="E13" s="69" t="s">
        <v>145</v>
      </c>
      <c r="F13" s="77">
        <v>1.3</v>
      </c>
      <c r="G13" s="218">
        <v>0</v>
      </c>
      <c r="H13" s="77">
        <f>F13*AM13</f>
        <v>0</v>
      </c>
      <c r="I13" s="77">
        <f>F13*AN13</f>
        <v>0</v>
      </c>
      <c r="J13" s="77">
        <f>F13*G13</f>
        <v>0</v>
      </c>
      <c r="K13" s="77">
        <v>2.478E-2</v>
      </c>
      <c r="L13" s="77">
        <f>F13*K13</f>
        <v>3.2214E-2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G13*0.057575431</f>
        <v>0</v>
      </c>
      <c r="AN13" s="77">
        <f>G13*(1-0.057575431)</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3.2214E-2</v>
      </c>
      <c r="BF13" s="77">
        <f>F13*AM13</f>
        <v>0</v>
      </c>
      <c r="BG13" s="77">
        <f>F13*AN13</f>
        <v>0</v>
      </c>
      <c r="BH13" s="77">
        <f>F13*G13</f>
        <v>0</v>
      </c>
      <c r="BI13" s="77"/>
      <c r="BJ13" s="77">
        <v>11</v>
      </c>
      <c r="BU13" s="77" t="e">
        <f>#REF!</f>
        <v>#REF!</v>
      </c>
      <c r="BV13" s="70" t="s">
        <v>151</v>
      </c>
    </row>
    <row r="14" spans="1:74" ht="40.5" customHeight="1" x14ac:dyDescent="0.25">
      <c r="A14" s="104"/>
      <c r="B14" s="81" t="s">
        <v>138</v>
      </c>
      <c r="C14" s="303" t="s">
        <v>1071</v>
      </c>
      <c r="D14" s="304"/>
      <c r="E14" s="304"/>
      <c r="F14" s="304"/>
      <c r="G14" s="304"/>
      <c r="H14" s="304"/>
      <c r="I14" s="304"/>
      <c r="J14" s="304"/>
      <c r="K14" s="304"/>
      <c r="L14" s="304"/>
      <c r="M14" s="305"/>
    </row>
    <row r="15" spans="1:74" x14ac:dyDescent="0.25">
      <c r="A15" s="92" t="s">
        <v>142</v>
      </c>
      <c r="B15" s="69" t="s">
        <v>493</v>
      </c>
      <c r="C15" s="306" t="s">
        <v>494</v>
      </c>
      <c r="D15" s="307"/>
      <c r="E15" s="69" t="s">
        <v>166</v>
      </c>
      <c r="F15" s="77">
        <v>2.3199999999999998</v>
      </c>
      <c r="G15" s="218">
        <v>0</v>
      </c>
      <c r="H15" s="77">
        <f>F15*AM15</f>
        <v>0</v>
      </c>
      <c r="I15" s="77">
        <f>F15*AN15</f>
        <v>0</v>
      </c>
      <c r="J15" s="77">
        <f>F15*G15</f>
        <v>0</v>
      </c>
      <c r="K15" s="77">
        <v>0.90010000000000001</v>
      </c>
      <c r="L15" s="77">
        <f>F15*K15</f>
        <v>2.0882320000000001</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G15*0.006611308</f>
        <v>0</v>
      </c>
      <c r="AN15" s="77">
        <f>G15*(1-0.006611308)</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2.0882320000000001</v>
      </c>
      <c r="BF15" s="77">
        <f>F15*AM15</f>
        <v>0</v>
      </c>
      <c r="BG15" s="77">
        <f>F15*AN15</f>
        <v>0</v>
      </c>
      <c r="BH15" s="77">
        <f>F15*G15</f>
        <v>0</v>
      </c>
      <c r="BI15" s="77"/>
      <c r="BJ15" s="77">
        <v>11</v>
      </c>
      <c r="BU15" s="77" t="e">
        <f>#REF!</f>
        <v>#REF!</v>
      </c>
      <c r="BV15" s="70" t="s">
        <v>494</v>
      </c>
    </row>
    <row r="16" spans="1:74" ht="162" customHeight="1" x14ac:dyDescent="0.25">
      <c r="A16" s="104"/>
      <c r="B16" s="81" t="s">
        <v>138</v>
      </c>
      <c r="C16" s="303" t="s">
        <v>1072</v>
      </c>
      <c r="D16" s="304"/>
      <c r="E16" s="304"/>
      <c r="F16" s="304"/>
      <c r="G16" s="304"/>
      <c r="H16" s="304"/>
      <c r="I16" s="304"/>
      <c r="J16" s="304"/>
      <c r="K16" s="304"/>
      <c r="L16" s="304"/>
      <c r="M16" s="305"/>
    </row>
    <row r="17" spans="1:74" x14ac:dyDescent="0.25">
      <c r="A17" s="92" t="s">
        <v>149</v>
      </c>
      <c r="B17" s="69" t="s">
        <v>1014</v>
      </c>
      <c r="C17" s="306" t="s">
        <v>1015</v>
      </c>
      <c r="D17" s="307"/>
      <c r="E17" s="69" t="s">
        <v>166</v>
      </c>
      <c r="F17" s="77">
        <v>3.64</v>
      </c>
      <c r="G17" s="218">
        <v>0</v>
      </c>
      <c r="H17" s="77">
        <f>F17*AM17</f>
        <v>0</v>
      </c>
      <c r="I17" s="77">
        <f>F17*AN17</f>
        <v>0</v>
      </c>
      <c r="J17" s="77">
        <f>F17*G17</f>
        <v>0</v>
      </c>
      <c r="K17" s="77">
        <v>0.44</v>
      </c>
      <c r="L17" s="77">
        <f>F17*K17</f>
        <v>1.6016000000000001</v>
      </c>
      <c r="M17" s="103" t="s">
        <v>35</v>
      </c>
      <c r="X17" s="77">
        <f>IF(AO17="5",BH17,0)</f>
        <v>0</v>
      </c>
      <c r="Z17" s="77">
        <f>IF(AO17="1",BF17,0)</f>
        <v>0</v>
      </c>
      <c r="AA17" s="77">
        <f>IF(AO17="1",BG17,0)</f>
        <v>0</v>
      </c>
      <c r="AB17" s="77">
        <f>IF(AO17="7",BF17,0)</f>
        <v>0</v>
      </c>
      <c r="AC17" s="77">
        <f>IF(AO17="7",BG17,0)</f>
        <v>0</v>
      </c>
      <c r="AD17" s="77">
        <f>IF(AO17="2",BF17,0)</f>
        <v>0</v>
      </c>
      <c r="AE17" s="77">
        <f>IF(AO17="2",BG17,0)</f>
        <v>0</v>
      </c>
      <c r="AF17" s="77">
        <f>IF(AO17="0",BH17,0)</f>
        <v>0</v>
      </c>
      <c r="AG17" s="71" t="s">
        <v>129</v>
      </c>
      <c r="AH17" s="77">
        <f>IF(AL17=0,J17,0)</f>
        <v>0</v>
      </c>
      <c r="AI17" s="77">
        <f>IF(AL17=15,J17,0)</f>
        <v>0</v>
      </c>
      <c r="AJ17" s="77">
        <f>IF(AL17=21,J17,0)</f>
        <v>0</v>
      </c>
      <c r="AL17" s="77">
        <v>15</v>
      </c>
      <c r="AM17" s="77">
        <f>G17*0</f>
        <v>0</v>
      </c>
      <c r="AN17" s="77">
        <f>G17*(1-0)</f>
        <v>0</v>
      </c>
      <c r="AO17" s="79" t="s">
        <v>132</v>
      </c>
      <c r="AT17" s="77">
        <f>AU17+AV17</f>
        <v>0</v>
      </c>
      <c r="AU17" s="77">
        <f>F17*AM17</f>
        <v>0</v>
      </c>
      <c r="AV17" s="77">
        <f>F17*AN17</f>
        <v>0</v>
      </c>
      <c r="AW17" s="79" t="s">
        <v>146</v>
      </c>
      <c r="AX17" s="79" t="s">
        <v>147</v>
      </c>
      <c r="AY17" s="71" t="s">
        <v>137</v>
      </c>
      <c r="BA17" s="77">
        <f>AU17+AV17</f>
        <v>0</v>
      </c>
      <c r="BB17" s="77">
        <f>G17/(100-BC17)*100</f>
        <v>0</v>
      </c>
      <c r="BC17" s="77">
        <v>0</v>
      </c>
      <c r="BD17" s="77">
        <f>L17</f>
        <v>1.6016000000000001</v>
      </c>
      <c r="BF17" s="77">
        <f>F17*AM17</f>
        <v>0</v>
      </c>
      <c r="BG17" s="77">
        <f>F17*AN17</f>
        <v>0</v>
      </c>
      <c r="BH17" s="77">
        <f>F17*G17</f>
        <v>0</v>
      </c>
      <c r="BI17" s="77"/>
      <c r="BJ17" s="77">
        <v>11</v>
      </c>
      <c r="BU17" s="77" t="e">
        <f>#REF!</f>
        <v>#REF!</v>
      </c>
      <c r="BV17" s="70" t="s">
        <v>1015</v>
      </c>
    </row>
    <row r="18" spans="1:74" ht="67.5" customHeight="1" x14ac:dyDescent="0.25">
      <c r="A18" s="104"/>
      <c r="B18" s="81" t="s">
        <v>138</v>
      </c>
      <c r="C18" s="303" t="s">
        <v>1073</v>
      </c>
      <c r="D18" s="304"/>
      <c r="E18" s="304"/>
      <c r="F18" s="304"/>
      <c r="G18" s="304"/>
      <c r="H18" s="304"/>
      <c r="I18" s="304"/>
      <c r="J18" s="304"/>
      <c r="K18" s="304"/>
      <c r="L18" s="304"/>
      <c r="M18" s="305"/>
    </row>
    <row r="19" spans="1:74" x14ac:dyDescent="0.25">
      <c r="A19" s="92" t="s">
        <v>153</v>
      </c>
      <c r="B19" s="69" t="s">
        <v>819</v>
      </c>
      <c r="C19" s="306" t="s">
        <v>990</v>
      </c>
      <c r="D19" s="307"/>
      <c r="E19" s="69" t="s">
        <v>166</v>
      </c>
      <c r="F19" s="77">
        <v>2.21</v>
      </c>
      <c r="G19" s="218">
        <v>0</v>
      </c>
      <c r="H19" s="77">
        <f>F19*AM19</f>
        <v>0</v>
      </c>
      <c r="I19" s="77">
        <f>F19*AN19</f>
        <v>0</v>
      </c>
      <c r="J19" s="77">
        <f>F19*G19</f>
        <v>0</v>
      </c>
      <c r="K19" s="77">
        <v>0.33</v>
      </c>
      <c r="L19" s="77">
        <f>F19*K19</f>
        <v>0.72930000000000006</v>
      </c>
      <c r="M19" s="103" t="s">
        <v>35</v>
      </c>
      <c r="X19" s="77">
        <f>IF(AO19="5",BH19,0)</f>
        <v>0</v>
      </c>
      <c r="Z19" s="77">
        <f>IF(AO19="1",BF19,0)</f>
        <v>0</v>
      </c>
      <c r="AA19" s="77">
        <f>IF(AO19="1",BG19,0)</f>
        <v>0</v>
      </c>
      <c r="AB19" s="77">
        <f>IF(AO19="7",BF19,0)</f>
        <v>0</v>
      </c>
      <c r="AC19" s="77">
        <f>IF(AO19="7",BG19,0)</f>
        <v>0</v>
      </c>
      <c r="AD19" s="77">
        <f>IF(AO19="2",BF19,0)</f>
        <v>0</v>
      </c>
      <c r="AE19" s="77">
        <f>IF(AO19="2",BG19,0)</f>
        <v>0</v>
      </c>
      <c r="AF19" s="77">
        <f>IF(AO19="0",BH19,0)</f>
        <v>0</v>
      </c>
      <c r="AG19" s="71" t="s">
        <v>129</v>
      </c>
      <c r="AH19" s="77">
        <f>IF(AL19=0,J19,0)</f>
        <v>0</v>
      </c>
      <c r="AI19" s="77">
        <f>IF(AL19=15,J19,0)</f>
        <v>0</v>
      </c>
      <c r="AJ19" s="77">
        <f>IF(AL19=21,J19,0)</f>
        <v>0</v>
      </c>
      <c r="AL19" s="77">
        <v>15</v>
      </c>
      <c r="AM19" s="77">
        <f>G19*0</f>
        <v>0</v>
      </c>
      <c r="AN19" s="77">
        <f>G19*(1-0)</f>
        <v>0</v>
      </c>
      <c r="AO19" s="79" t="s">
        <v>132</v>
      </c>
      <c r="AT19" s="77">
        <f>AU19+AV19</f>
        <v>0</v>
      </c>
      <c r="AU19" s="77">
        <f>F19*AM19</f>
        <v>0</v>
      </c>
      <c r="AV19" s="77">
        <f>F19*AN19</f>
        <v>0</v>
      </c>
      <c r="AW19" s="79" t="s">
        <v>146</v>
      </c>
      <c r="AX19" s="79" t="s">
        <v>147</v>
      </c>
      <c r="AY19" s="71" t="s">
        <v>137</v>
      </c>
      <c r="BA19" s="77">
        <f>AU19+AV19</f>
        <v>0</v>
      </c>
      <c r="BB19" s="77">
        <f>G19/(100-BC19)*100</f>
        <v>0</v>
      </c>
      <c r="BC19" s="77">
        <v>0</v>
      </c>
      <c r="BD19" s="77">
        <f>L19</f>
        <v>0.72930000000000006</v>
      </c>
      <c r="BF19" s="77">
        <f>F19*AM19</f>
        <v>0</v>
      </c>
      <c r="BG19" s="77">
        <f>F19*AN19</f>
        <v>0</v>
      </c>
      <c r="BH19" s="77">
        <f>F19*G19</f>
        <v>0</v>
      </c>
      <c r="BI19" s="77"/>
      <c r="BJ19" s="77">
        <v>11</v>
      </c>
      <c r="BU19" s="77" t="e">
        <f>#REF!</f>
        <v>#REF!</v>
      </c>
      <c r="BV19" s="70" t="s">
        <v>990</v>
      </c>
    </row>
    <row r="20" spans="1:74" ht="67.5" customHeight="1" x14ac:dyDescent="0.25">
      <c r="A20" s="104"/>
      <c r="B20" s="81" t="s">
        <v>138</v>
      </c>
      <c r="C20" s="303" t="s">
        <v>1074</v>
      </c>
      <c r="D20" s="304"/>
      <c r="E20" s="304"/>
      <c r="F20" s="304"/>
      <c r="G20" s="304"/>
      <c r="H20" s="304"/>
      <c r="I20" s="304"/>
      <c r="J20" s="304"/>
      <c r="K20" s="304"/>
      <c r="L20" s="304"/>
      <c r="M20" s="305"/>
    </row>
    <row r="21" spans="1:74" x14ac:dyDescent="0.25">
      <c r="A21" s="105" t="s">
        <v>129</v>
      </c>
      <c r="B21" s="74" t="s">
        <v>172</v>
      </c>
      <c r="C21" s="314" t="s">
        <v>173</v>
      </c>
      <c r="D21" s="315"/>
      <c r="E21" s="75" t="s">
        <v>87</v>
      </c>
      <c r="F21" s="75" t="s">
        <v>87</v>
      </c>
      <c r="G21" s="75" t="s">
        <v>87</v>
      </c>
      <c r="H21" s="67">
        <f>SUM(H22:H22)</f>
        <v>0</v>
      </c>
      <c r="I21" s="67">
        <f>SUM(I22:I22)</f>
        <v>0</v>
      </c>
      <c r="J21" s="67">
        <f>SUM(J22:J22)</f>
        <v>0</v>
      </c>
      <c r="K21" s="71" t="s">
        <v>129</v>
      </c>
      <c r="L21" s="67">
        <f>SUM(L22:L22)</f>
        <v>0</v>
      </c>
      <c r="M21" s="106" t="s">
        <v>129</v>
      </c>
      <c r="AG21" s="71" t="s">
        <v>129</v>
      </c>
      <c r="AQ21" s="67">
        <f>SUM(AH22:AH22)</f>
        <v>0</v>
      </c>
      <c r="AR21" s="67">
        <f>SUM(AI22:AI22)</f>
        <v>0</v>
      </c>
      <c r="AS21" s="67">
        <f>SUM(AJ22:AJ22)</f>
        <v>0</v>
      </c>
    </row>
    <row r="22" spans="1:74" x14ac:dyDescent="0.25">
      <c r="A22" s="92" t="s">
        <v>158</v>
      </c>
      <c r="B22" s="69" t="s">
        <v>175</v>
      </c>
      <c r="C22" s="306" t="s">
        <v>176</v>
      </c>
      <c r="D22" s="307"/>
      <c r="E22" s="69" t="s">
        <v>177</v>
      </c>
      <c r="F22" s="77">
        <v>0.25</v>
      </c>
      <c r="G22" s="218">
        <v>0</v>
      </c>
      <c r="H22" s="77">
        <f>F22*AM22</f>
        <v>0</v>
      </c>
      <c r="I22" s="77">
        <f>F22*AN22</f>
        <v>0</v>
      </c>
      <c r="J22" s="77">
        <f>F22*G22</f>
        <v>0</v>
      </c>
      <c r="K22" s="77">
        <v>0</v>
      </c>
      <c r="L22" s="77">
        <f>F22*K22</f>
        <v>0</v>
      </c>
      <c r="M22" s="103" t="s">
        <v>35</v>
      </c>
      <c r="X22" s="77">
        <f>IF(AO22="5",BH22,0)</f>
        <v>0</v>
      </c>
      <c r="Z22" s="77">
        <f>IF(AO22="1",BF22,0)</f>
        <v>0</v>
      </c>
      <c r="AA22" s="77">
        <f>IF(AO22="1",BG22,0)</f>
        <v>0</v>
      </c>
      <c r="AB22" s="77">
        <f>IF(AO22="7",BF22,0)</f>
        <v>0</v>
      </c>
      <c r="AC22" s="77">
        <f>IF(AO22="7",BG22,0)</f>
        <v>0</v>
      </c>
      <c r="AD22" s="77">
        <f>IF(AO22="2",BF22,0)</f>
        <v>0</v>
      </c>
      <c r="AE22" s="77">
        <f>IF(AO22="2",BG22,0)</f>
        <v>0</v>
      </c>
      <c r="AF22" s="77">
        <f>IF(AO22="0",BH22,0)</f>
        <v>0</v>
      </c>
      <c r="AG22" s="71" t="s">
        <v>129</v>
      </c>
      <c r="AH22" s="77">
        <f>IF(AL22=0,J22,0)</f>
        <v>0</v>
      </c>
      <c r="AI22" s="77">
        <f>IF(AL22=15,J22,0)</f>
        <v>0</v>
      </c>
      <c r="AJ22" s="77">
        <f>IF(AL22=21,J22,0)</f>
        <v>0</v>
      </c>
      <c r="AL22" s="77">
        <v>15</v>
      </c>
      <c r="AM22" s="77">
        <f>G22*0</f>
        <v>0</v>
      </c>
      <c r="AN22" s="77">
        <f>G22*(1-0)</f>
        <v>0</v>
      </c>
      <c r="AO22" s="79" t="s">
        <v>132</v>
      </c>
      <c r="AT22" s="77">
        <f>AU22+AV22</f>
        <v>0</v>
      </c>
      <c r="AU22" s="77">
        <f>F22*AM22</f>
        <v>0</v>
      </c>
      <c r="AV22" s="77">
        <f>F22*AN22</f>
        <v>0</v>
      </c>
      <c r="AW22" s="79" t="s">
        <v>178</v>
      </c>
      <c r="AX22" s="79" t="s">
        <v>147</v>
      </c>
      <c r="AY22" s="71" t="s">
        <v>137</v>
      </c>
      <c r="BA22" s="77">
        <f>AU22+AV22</f>
        <v>0</v>
      </c>
      <c r="BB22" s="77">
        <f>G22/(100-BC22)*100</f>
        <v>0</v>
      </c>
      <c r="BC22" s="77">
        <v>0</v>
      </c>
      <c r="BD22" s="77">
        <f>L22</f>
        <v>0</v>
      </c>
      <c r="BF22" s="77">
        <f>F22*AM22</f>
        <v>0</v>
      </c>
      <c r="BG22" s="77">
        <f>F22*AN22</f>
        <v>0</v>
      </c>
      <c r="BH22" s="77">
        <f>F22*G22</f>
        <v>0</v>
      </c>
      <c r="BI22" s="77"/>
      <c r="BJ22" s="77">
        <v>12</v>
      </c>
      <c r="BU22" s="77" t="e">
        <f>#REF!</f>
        <v>#REF!</v>
      </c>
      <c r="BV22" s="70" t="s">
        <v>176</v>
      </c>
    </row>
    <row r="23" spans="1:74" ht="40.5" customHeight="1" x14ac:dyDescent="0.25">
      <c r="A23" s="104"/>
      <c r="B23" s="81" t="s">
        <v>138</v>
      </c>
      <c r="C23" s="303" t="s">
        <v>1075</v>
      </c>
      <c r="D23" s="304"/>
      <c r="E23" s="304"/>
      <c r="F23" s="304"/>
      <c r="G23" s="304"/>
      <c r="H23" s="304"/>
      <c r="I23" s="304"/>
      <c r="J23" s="304"/>
      <c r="K23" s="304"/>
      <c r="L23" s="304"/>
      <c r="M23" s="305"/>
    </row>
    <row r="24" spans="1:74" x14ac:dyDescent="0.25">
      <c r="A24" s="105" t="s">
        <v>129</v>
      </c>
      <c r="B24" s="74" t="s">
        <v>180</v>
      </c>
      <c r="C24" s="314" t="s">
        <v>181</v>
      </c>
      <c r="D24" s="315"/>
      <c r="E24" s="75" t="s">
        <v>87</v>
      </c>
      <c r="F24" s="75" t="s">
        <v>87</v>
      </c>
      <c r="G24" s="75" t="s">
        <v>87</v>
      </c>
      <c r="H24" s="67">
        <f>SUM(H25:H31)</f>
        <v>0</v>
      </c>
      <c r="I24" s="67">
        <f>SUM(I25:I31)</f>
        <v>0</v>
      </c>
      <c r="J24" s="67">
        <f>SUM(J25:J31)</f>
        <v>0</v>
      </c>
      <c r="K24" s="71" t="s">
        <v>129</v>
      </c>
      <c r="L24" s="67">
        <f>SUM(L25:L31)</f>
        <v>0</v>
      </c>
      <c r="M24" s="106" t="s">
        <v>129</v>
      </c>
      <c r="AG24" s="71" t="s">
        <v>129</v>
      </c>
      <c r="AQ24" s="67">
        <f>SUM(AH25:AH31)</f>
        <v>0</v>
      </c>
      <c r="AR24" s="67">
        <f>SUM(AI25:AI31)</f>
        <v>0</v>
      </c>
      <c r="AS24" s="67">
        <f>SUM(AJ25:AJ31)</f>
        <v>0</v>
      </c>
    </row>
    <row r="25" spans="1:74" x14ac:dyDescent="0.25">
      <c r="A25" s="92" t="s">
        <v>163</v>
      </c>
      <c r="B25" s="69" t="s">
        <v>825</v>
      </c>
      <c r="C25" s="306" t="s">
        <v>1076</v>
      </c>
      <c r="D25" s="307"/>
      <c r="E25" s="69" t="s">
        <v>177</v>
      </c>
      <c r="F25" s="77">
        <v>3.31</v>
      </c>
      <c r="G25" s="218">
        <v>0</v>
      </c>
      <c r="H25" s="77">
        <f>F25*AM25</f>
        <v>0</v>
      </c>
      <c r="I25" s="77">
        <f>F25*AN25</f>
        <v>0</v>
      </c>
      <c r="J25" s="77">
        <f>F25*G25</f>
        <v>0</v>
      </c>
      <c r="K25" s="77">
        <v>0</v>
      </c>
      <c r="L25" s="77">
        <f>F25*K25</f>
        <v>0</v>
      </c>
      <c r="M25" s="103" t="s">
        <v>35</v>
      </c>
      <c r="X25" s="77">
        <f>IF(AO25="5",BH25,0)</f>
        <v>0</v>
      </c>
      <c r="Z25" s="77">
        <f>IF(AO25="1",BF25,0)</f>
        <v>0</v>
      </c>
      <c r="AA25" s="77">
        <f>IF(AO25="1",BG25,0)</f>
        <v>0</v>
      </c>
      <c r="AB25" s="77">
        <f>IF(AO25="7",BF25,0)</f>
        <v>0</v>
      </c>
      <c r="AC25" s="77">
        <f>IF(AO25="7",BG25,0)</f>
        <v>0</v>
      </c>
      <c r="AD25" s="77">
        <f>IF(AO25="2",BF25,0)</f>
        <v>0</v>
      </c>
      <c r="AE25" s="77">
        <f>IF(AO25="2",BG25,0)</f>
        <v>0</v>
      </c>
      <c r="AF25" s="77">
        <f>IF(AO25="0",BH25,0)</f>
        <v>0</v>
      </c>
      <c r="AG25" s="71" t="s">
        <v>129</v>
      </c>
      <c r="AH25" s="77">
        <f>IF(AL25=0,J25,0)</f>
        <v>0</v>
      </c>
      <c r="AI25" s="77">
        <f>IF(AL25=15,J25,0)</f>
        <v>0</v>
      </c>
      <c r="AJ25" s="77">
        <f>IF(AL25=21,J25,0)</f>
        <v>0</v>
      </c>
      <c r="AL25" s="77">
        <v>15</v>
      </c>
      <c r="AM25" s="77">
        <f>G25*0</f>
        <v>0</v>
      </c>
      <c r="AN25" s="77">
        <f>G25*(1-0)</f>
        <v>0</v>
      </c>
      <c r="AO25" s="79" t="s">
        <v>132</v>
      </c>
      <c r="AT25" s="77">
        <f>AU25+AV25</f>
        <v>0</v>
      </c>
      <c r="AU25" s="77">
        <f>F25*AM25</f>
        <v>0</v>
      </c>
      <c r="AV25" s="77">
        <f>F25*AN25</f>
        <v>0</v>
      </c>
      <c r="AW25" s="79" t="s">
        <v>185</v>
      </c>
      <c r="AX25" s="79" t="s">
        <v>147</v>
      </c>
      <c r="AY25" s="71" t="s">
        <v>137</v>
      </c>
      <c r="BA25" s="77">
        <f>AU25+AV25</f>
        <v>0</v>
      </c>
      <c r="BB25" s="77">
        <f>G25/(100-BC25)*100</f>
        <v>0</v>
      </c>
      <c r="BC25" s="77">
        <v>0</v>
      </c>
      <c r="BD25" s="77">
        <f>L25</f>
        <v>0</v>
      </c>
      <c r="BF25" s="77">
        <f>F25*AM25</f>
        <v>0</v>
      </c>
      <c r="BG25" s="77">
        <f>F25*AN25</f>
        <v>0</v>
      </c>
      <c r="BH25" s="77">
        <f>F25*G25</f>
        <v>0</v>
      </c>
      <c r="BI25" s="77"/>
      <c r="BJ25" s="77">
        <v>13</v>
      </c>
      <c r="BU25" s="77" t="e">
        <f>#REF!</f>
        <v>#REF!</v>
      </c>
      <c r="BV25" s="70" t="s">
        <v>1076</v>
      </c>
    </row>
    <row r="26" spans="1:74" ht="108" customHeight="1" thickBot="1" x14ac:dyDescent="0.3">
      <c r="A26" s="107"/>
      <c r="B26" s="108" t="s">
        <v>138</v>
      </c>
      <c r="C26" s="308" t="s">
        <v>1077</v>
      </c>
      <c r="D26" s="309"/>
      <c r="E26" s="309"/>
      <c r="F26" s="309"/>
      <c r="G26" s="309"/>
      <c r="H26" s="309"/>
      <c r="I26" s="309"/>
      <c r="J26" s="309"/>
      <c r="K26" s="309"/>
      <c r="L26" s="309"/>
      <c r="M26" s="310"/>
    </row>
    <row r="27" spans="1:74" x14ac:dyDescent="0.25">
      <c r="A27" s="122" t="s">
        <v>168</v>
      </c>
      <c r="B27" s="109" t="s">
        <v>188</v>
      </c>
      <c r="C27" s="312" t="s">
        <v>909</v>
      </c>
      <c r="D27" s="313"/>
      <c r="E27" s="109" t="s">
        <v>177</v>
      </c>
      <c r="F27" s="123">
        <v>1.66</v>
      </c>
      <c r="G27" s="219">
        <v>0</v>
      </c>
      <c r="H27" s="123">
        <f>F27*AM27</f>
        <v>0</v>
      </c>
      <c r="I27" s="123">
        <f>F27*AN27</f>
        <v>0</v>
      </c>
      <c r="J27" s="123">
        <f>F27*G27</f>
        <v>0</v>
      </c>
      <c r="K27" s="123">
        <v>0</v>
      </c>
      <c r="L27" s="123">
        <f>F27*K27</f>
        <v>0</v>
      </c>
      <c r="M27" s="124"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f>
        <v>0</v>
      </c>
      <c r="AN27" s="77">
        <f>G27*(1-0)</f>
        <v>0</v>
      </c>
      <c r="AO27" s="79" t="s">
        <v>132</v>
      </c>
      <c r="AT27" s="77">
        <f>AU27+AV27</f>
        <v>0</v>
      </c>
      <c r="AU27" s="77">
        <f>F27*AM27</f>
        <v>0</v>
      </c>
      <c r="AV27" s="77">
        <f>F27*AN27</f>
        <v>0</v>
      </c>
      <c r="AW27" s="79" t="s">
        <v>185</v>
      </c>
      <c r="AX27" s="79" t="s">
        <v>147</v>
      </c>
      <c r="AY27" s="71" t="s">
        <v>137</v>
      </c>
      <c r="BA27" s="77">
        <f>AU27+AV27</f>
        <v>0</v>
      </c>
      <c r="BB27" s="77">
        <f>G27/(100-BC27)*100</f>
        <v>0</v>
      </c>
      <c r="BC27" s="77">
        <v>0</v>
      </c>
      <c r="BD27" s="77">
        <f>L27</f>
        <v>0</v>
      </c>
      <c r="BF27" s="77">
        <f>F27*AM27</f>
        <v>0</v>
      </c>
      <c r="BG27" s="77">
        <f>F27*AN27</f>
        <v>0</v>
      </c>
      <c r="BH27" s="77">
        <f>F27*G27</f>
        <v>0</v>
      </c>
      <c r="BI27" s="77"/>
      <c r="BJ27" s="77">
        <v>13</v>
      </c>
      <c r="BU27" s="77" t="e">
        <f>#REF!</f>
        <v>#REF!</v>
      </c>
      <c r="BV27" s="70" t="s">
        <v>909</v>
      </c>
    </row>
    <row r="28" spans="1:74" ht="40.5" customHeight="1" x14ac:dyDescent="0.25">
      <c r="A28" s="104"/>
      <c r="B28" s="81" t="s">
        <v>138</v>
      </c>
      <c r="C28" s="303" t="s">
        <v>1078</v>
      </c>
      <c r="D28" s="304"/>
      <c r="E28" s="304"/>
      <c r="F28" s="304"/>
      <c r="G28" s="304"/>
      <c r="H28" s="304"/>
      <c r="I28" s="304"/>
      <c r="J28" s="304"/>
      <c r="K28" s="304"/>
      <c r="L28" s="304"/>
      <c r="M28" s="305"/>
    </row>
    <row r="29" spans="1:74" x14ac:dyDescent="0.25">
      <c r="A29" s="92" t="s">
        <v>174</v>
      </c>
      <c r="B29" s="69" t="s">
        <v>829</v>
      </c>
      <c r="C29" s="306" t="s">
        <v>830</v>
      </c>
      <c r="D29" s="307"/>
      <c r="E29" s="69" t="s">
        <v>177</v>
      </c>
      <c r="F29" s="77">
        <v>3.31</v>
      </c>
      <c r="G29" s="218">
        <v>0</v>
      </c>
      <c r="H29" s="77">
        <f>F29*AM29</f>
        <v>0</v>
      </c>
      <c r="I29" s="77">
        <f>F29*AN29</f>
        <v>0</v>
      </c>
      <c r="J29" s="77">
        <f>F29*G29</f>
        <v>0</v>
      </c>
      <c r="K29" s="77">
        <v>0</v>
      </c>
      <c r="L29" s="77">
        <f>F29*K29</f>
        <v>0</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185</v>
      </c>
      <c r="AX29" s="79" t="s">
        <v>147</v>
      </c>
      <c r="AY29" s="71" t="s">
        <v>137</v>
      </c>
      <c r="BA29" s="77">
        <f>AU29+AV29</f>
        <v>0</v>
      </c>
      <c r="BB29" s="77">
        <f>G29/(100-BC29)*100</f>
        <v>0</v>
      </c>
      <c r="BC29" s="77">
        <v>0</v>
      </c>
      <c r="BD29" s="77">
        <f>L29</f>
        <v>0</v>
      </c>
      <c r="BF29" s="77">
        <f>F29*AM29</f>
        <v>0</v>
      </c>
      <c r="BG29" s="77">
        <f>F29*AN29</f>
        <v>0</v>
      </c>
      <c r="BH29" s="77">
        <f>F29*G29</f>
        <v>0</v>
      </c>
      <c r="BI29" s="77"/>
      <c r="BJ29" s="77">
        <v>13</v>
      </c>
      <c r="BU29" s="77" t="e">
        <f>#REF!</f>
        <v>#REF!</v>
      </c>
      <c r="BV29" s="70" t="s">
        <v>830</v>
      </c>
    </row>
    <row r="30" spans="1:74" ht="108" customHeight="1" x14ac:dyDescent="0.25">
      <c r="A30" s="104"/>
      <c r="B30" s="81" t="s">
        <v>138</v>
      </c>
      <c r="C30" s="303" t="s">
        <v>1079</v>
      </c>
      <c r="D30" s="304"/>
      <c r="E30" s="304"/>
      <c r="F30" s="304"/>
      <c r="G30" s="304"/>
      <c r="H30" s="304"/>
      <c r="I30" s="304"/>
      <c r="J30" s="304"/>
      <c r="K30" s="304"/>
      <c r="L30" s="304"/>
      <c r="M30" s="305"/>
    </row>
    <row r="31" spans="1:74" x14ac:dyDescent="0.25">
      <c r="A31" s="92" t="s">
        <v>182</v>
      </c>
      <c r="B31" s="69" t="s">
        <v>194</v>
      </c>
      <c r="C31" s="306" t="s">
        <v>912</v>
      </c>
      <c r="D31" s="307"/>
      <c r="E31" s="69" t="s">
        <v>177</v>
      </c>
      <c r="F31" s="77">
        <v>0.83</v>
      </c>
      <c r="G31" s="218">
        <v>0</v>
      </c>
      <c r="H31" s="77">
        <f>F31*AM31</f>
        <v>0</v>
      </c>
      <c r="I31" s="77">
        <f>F31*AN31</f>
        <v>0</v>
      </c>
      <c r="J31" s="77">
        <f>F31*G31</f>
        <v>0</v>
      </c>
      <c r="K31" s="77">
        <v>0</v>
      </c>
      <c r="L31" s="77">
        <f>F31*K31</f>
        <v>0</v>
      </c>
      <c r="M31" s="103" t="s">
        <v>35</v>
      </c>
      <c r="X31" s="77">
        <f>IF(AO31="5",BH31,0)</f>
        <v>0</v>
      </c>
      <c r="Z31" s="77">
        <f>IF(AO31="1",BF31,0)</f>
        <v>0</v>
      </c>
      <c r="AA31" s="77">
        <f>IF(AO31="1",BG31,0)</f>
        <v>0</v>
      </c>
      <c r="AB31" s="77">
        <f>IF(AO31="7",BF31,0)</f>
        <v>0</v>
      </c>
      <c r="AC31" s="77">
        <f>IF(AO31="7",BG31,0)</f>
        <v>0</v>
      </c>
      <c r="AD31" s="77">
        <f>IF(AO31="2",BF31,0)</f>
        <v>0</v>
      </c>
      <c r="AE31" s="77">
        <f>IF(AO31="2",BG31,0)</f>
        <v>0</v>
      </c>
      <c r="AF31" s="77">
        <f>IF(AO31="0",BH31,0)</f>
        <v>0</v>
      </c>
      <c r="AG31" s="71" t="s">
        <v>129</v>
      </c>
      <c r="AH31" s="77">
        <f>IF(AL31=0,J31,0)</f>
        <v>0</v>
      </c>
      <c r="AI31" s="77">
        <f>IF(AL31=15,J31,0)</f>
        <v>0</v>
      </c>
      <c r="AJ31" s="77">
        <f>IF(AL31=21,J31,0)</f>
        <v>0</v>
      </c>
      <c r="AL31" s="77">
        <v>15</v>
      </c>
      <c r="AM31" s="77">
        <f>G31*0</f>
        <v>0</v>
      </c>
      <c r="AN31" s="77">
        <f>G31*(1-0)</f>
        <v>0</v>
      </c>
      <c r="AO31" s="79" t="s">
        <v>132</v>
      </c>
      <c r="AT31" s="77">
        <f>AU31+AV31</f>
        <v>0</v>
      </c>
      <c r="AU31" s="77">
        <f>F31*AM31</f>
        <v>0</v>
      </c>
      <c r="AV31" s="77">
        <f>F31*AN31</f>
        <v>0</v>
      </c>
      <c r="AW31" s="79" t="s">
        <v>185</v>
      </c>
      <c r="AX31" s="79" t="s">
        <v>147</v>
      </c>
      <c r="AY31" s="71" t="s">
        <v>137</v>
      </c>
      <c r="BA31" s="77">
        <f>AU31+AV31</f>
        <v>0</v>
      </c>
      <c r="BB31" s="77">
        <f>G31/(100-BC31)*100</f>
        <v>0</v>
      </c>
      <c r="BC31" s="77">
        <v>0</v>
      </c>
      <c r="BD31" s="77">
        <f>L31</f>
        <v>0</v>
      </c>
      <c r="BF31" s="77">
        <f>F31*AM31</f>
        <v>0</v>
      </c>
      <c r="BG31" s="77">
        <f>F31*AN31</f>
        <v>0</v>
      </c>
      <c r="BH31" s="77">
        <f>F31*G31</f>
        <v>0</v>
      </c>
      <c r="BI31" s="77"/>
      <c r="BJ31" s="77">
        <v>13</v>
      </c>
      <c r="BU31" s="77" t="e">
        <f>#REF!</f>
        <v>#REF!</v>
      </c>
      <c r="BV31" s="70" t="s">
        <v>912</v>
      </c>
    </row>
    <row r="32" spans="1:74" ht="40.5" customHeight="1" x14ac:dyDescent="0.25">
      <c r="A32" s="104"/>
      <c r="B32" s="81" t="s">
        <v>138</v>
      </c>
      <c r="C32" s="303" t="s">
        <v>1080</v>
      </c>
      <c r="D32" s="304"/>
      <c r="E32" s="304"/>
      <c r="F32" s="304"/>
      <c r="G32" s="304"/>
      <c r="H32" s="304"/>
      <c r="I32" s="304"/>
      <c r="J32" s="304"/>
      <c r="K32" s="304"/>
      <c r="L32" s="304"/>
      <c r="M32" s="305"/>
    </row>
    <row r="33" spans="1:74" x14ac:dyDescent="0.25">
      <c r="A33" s="105" t="s">
        <v>129</v>
      </c>
      <c r="B33" s="74" t="s">
        <v>204</v>
      </c>
      <c r="C33" s="314" t="s">
        <v>208</v>
      </c>
      <c r="D33" s="315"/>
      <c r="E33" s="75" t="s">
        <v>87</v>
      </c>
      <c r="F33" s="75" t="s">
        <v>87</v>
      </c>
      <c r="G33" s="75" t="s">
        <v>87</v>
      </c>
      <c r="H33" s="67">
        <f>SUM(H34:H36)</f>
        <v>0</v>
      </c>
      <c r="I33" s="67">
        <f>SUM(I34:I36)</f>
        <v>0</v>
      </c>
      <c r="J33" s="67">
        <f>SUM(J34:J36)</f>
        <v>0</v>
      </c>
      <c r="K33" s="71" t="s">
        <v>129</v>
      </c>
      <c r="L33" s="67">
        <f>SUM(L34:L36)</f>
        <v>6.7767999999999995E-3</v>
      </c>
      <c r="M33" s="106" t="s">
        <v>129</v>
      </c>
      <c r="AG33" s="71" t="s">
        <v>129</v>
      </c>
      <c r="AQ33" s="67">
        <f>SUM(AH34:AH36)</f>
        <v>0</v>
      </c>
      <c r="AR33" s="67">
        <f>SUM(AI34:AI36)</f>
        <v>0</v>
      </c>
      <c r="AS33" s="67">
        <f>SUM(AJ34:AJ36)</f>
        <v>0</v>
      </c>
    </row>
    <row r="34" spans="1:74" x14ac:dyDescent="0.25">
      <c r="A34" s="92" t="s">
        <v>187</v>
      </c>
      <c r="B34" s="69" t="s">
        <v>210</v>
      </c>
      <c r="C34" s="306" t="s">
        <v>211</v>
      </c>
      <c r="D34" s="307"/>
      <c r="E34" s="69" t="s">
        <v>166</v>
      </c>
      <c r="F34" s="77">
        <v>7.88</v>
      </c>
      <c r="G34" s="218">
        <v>0</v>
      </c>
      <c r="H34" s="77">
        <f>F34*AM34</f>
        <v>0</v>
      </c>
      <c r="I34" s="77">
        <f>F34*AN34</f>
        <v>0</v>
      </c>
      <c r="J34" s="77">
        <f>F34*G34</f>
        <v>0</v>
      </c>
      <c r="K34" s="77">
        <v>8.5999999999999998E-4</v>
      </c>
      <c r="L34" s="77">
        <f>F34*K34</f>
        <v>6.7767999999999995E-3</v>
      </c>
      <c r="M34" s="103" t="s">
        <v>35</v>
      </c>
      <c r="X34" s="77">
        <f>IF(AO34="5",BH34,0)</f>
        <v>0</v>
      </c>
      <c r="Z34" s="77">
        <f>IF(AO34="1",BF34,0)</f>
        <v>0</v>
      </c>
      <c r="AA34" s="77">
        <f>IF(AO34="1",BG34,0)</f>
        <v>0</v>
      </c>
      <c r="AB34" s="77">
        <f>IF(AO34="7",BF34,0)</f>
        <v>0</v>
      </c>
      <c r="AC34" s="77">
        <f>IF(AO34="7",BG34,0)</f>
        <v>0</v>
      </c>
      <c r="AD34" s="77">
        <f>IF(AO34="2",BF34,0)</f>
        <v>0</v>
      </c>
      <c r="AE34" s="77">
        <f>IF(AO34="2",BG34,0)</f>
        <v>0</v>
      </c>
      <c r="AF34" s="77">
        <f>IF(AO34="0",BH34,0)</f>
        <v>0</v>
      </c>
      <c r="AG34" s="71" t="s">
        <v>129</v>
      </c>
      <c r="AH34" s="77">
        <f>IF(AL34=0,J34,0)</f>
        <v>0</v>
      </c>
      <c r="AI34" s="77">
        <f>IF(AL34=15,J34,0)</f>
        <v>0</v>
      </c>
      <c r="AJ34" s="77">
        <f>IF(AL34=21,J34,0)</f>
        <v>0</v>
      </c>
      <c r="AL34" s="77">
        <v>15</v>
      </c>
      <c r="AM34" s="77">
        <f>G34*0.088675963</f>
        <v>0</v>
      </c>
      <c r="AN34" s="77">
        <f>G34*(1-0.088675963)</f>
        <v>0</v>
      </c>
      <c r="AO34" s="79" t="s">
        <v>132</v>
      </c>
      <c r="AT34" s="77">
        <f>AU34+AV34</f>
        <v>0</v>
      </c>
      <c r="AU34" s="77">
        <f>F34*AM34</f>
        <v>0</v>
      </c>
      <c r="AV34" s="77">
        <f>F34*AN34</f>
        <v>0</v>
      </c>
      <c r="AW34" s="79" t="s">
        <v>212</v>
      </c>
      <c r="AX34" s="79" t="s">
        <v>147</v>
      </c>
      <c r="AY34" s="71" t="s">
        <v>137</v>
      </c>
      <c r="BA34" s="77">
        <f>AU34+AV34</f>
        <v>0</v>
      </c>
      <c r="BB34" s="77">
        <f>G34/(100-BC34)*100</f>
        <v>0</v>
      </c>
      <c r="BC34" s="77">
        <v>0</v>
      </c>
      <c r="BD34" s="77">
        <f>L34</f>
        <v>6.7767999999999995E-3</v>
      </c>
      <c r="BF34" s="77">
        <f>F34*AM34</f>
        <v>0</v>
      </c>
      <c r="BG34" s="77">
        <f>F34*AN34</f>
        <v>0</v>
      </c>
      <c r="BH34" s="77">
        <f>F34*G34</f>
        <v>0</v>
      </c>
      <c r="BI34" s="77"/>
      <c r="BJ34" s="77">
        <v>15</v>
      </c>
      <c r="BU34" s="77" t="e">
        <f>#REF!</f>
        <v>#REF!</v>
      </c>
      <c r="BV34" s="70" t="s">
        <v>211</v>
      </c>
    </row>
    <row r="35" spans="1:74" ht="40.5" customHeight="1" x14ac:dyDescent="0.25">
      <c r="A35" s="104"/>
      <c r="B35" s="81" t="s">
        <v>138</v>
      </c>
      <c r="C35" s="303" t="s">
        <v>1081</v>
      </c>
      <c r="D35" s="304"/>
      <c r="E35" s="304"/>
      <c r="F35" s="304"/>
      <c r="G35" s="304"/>
      <c r="H35" s="304"/>
      <c r="I35" s="304"/>
      <c r="J35" s="304"/>
      <c r="K35" s="304"/>
      <c r="L35" s="304"/>
      <c r="M35" s="305"/>
    </row>
    <row r="36" spans="1:74" x14ac:dyDescent="0.25">
      <c r="A36" s="92" t="s">
        <v>140</v>
      </c>
      <c r="B36" s="69" t="s">
        <v>215</v>
      </c>
      <c r="C36" s="306" t="s">
        <v>216</v>
      </c>
      <c r="D36" s="307"/>
      <c r="E36" s="69" t="s">
        <v>166</v>
      </c>
      <c r="F36" s="77">
        <v>7.88</v>
      </c>
      <c r="G36" s="218">
        <v>0</v>
      </c>
      <c r="H36" s="77">
        <f>F36*AM36</f>
        <v>0</v>
      </c>
      <c r="I36" s="77">
        <f>F36*AN36</f>
        <v>0</v>
      </c>
      <c r="J36" s="77">
        <f>F36*G36</f>
        <v>0</v>
      </c>
      <c r="K36" s="77">
        <v>0</v>
      </c>
      <c r="L36" s="77">
        <f>F36*K36</f>
        <v>0</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f>
        <v>0</v>
      </c>
      <c r="AN36" s="77">
        <f>G36*(1-0)</f>
        <v>0</v>
      </c>
      <c r="AO36" s="79" t="s">
        <v>132</v>
      </c>
      <c r="AT36" s="77">
        <f>AU36+AV36</f>
        <v>0</v>
      </c>
      <c r="AU36" s="77">
        <f>F36*AM36</f>
        <v>0</v>
      </c>
      <c r="AV36" s="77">
        <f>F36*AN36</f>
        <v>0</v>
      </c>
      <c r="AW36" s="79" t="s">
        <v>212</v>
      </c>
      <c r="AX36" s="79" t="s">
        <v>147</v>
      </c>
      <c r="AY36" s="71" t="s">
        <v>137</v>
      </c>
      <c r="BA36" s="77">
        <f>AU36+AV36</f>
        <v>0</v>
      </c>
      <c r="BB36" s="77">
        <f>G36/(100-BC36)*100</f>
        <v>0</v>
      </c>
      <c r="BC36" s="77">
        <v>0</v>
      </c>
      <c r="BD36" s="77">
        <f>L36</f>
        <v>0</v>
      </c>
      <c r="BF36" s="77">
        <f>F36*AM36</f>
        <v>0</v>
      </c>
      <c r="BG36" s="77">
        <f>F36*AN36</f>
        <v>0</v>
      </c>
      <c r="BH36" s="77">
        <f>F36*G36</f>
        <v>0</v>
      </c>
      <c r="BI36" s="77"/>
      <c r="BJ36" s="77">
        <v>15</v>
      </c>
      <c r="BU36" s="77" t="e">
        <f>#REF!</f>
        <v>#REF!</v>
      </c>
      <c r="BV36" s="70" t="s">
        <v>216</v>
      </c>
    </row>
    <row r="37" spans="1:74" ht="40.5" customHeight="1" x14ac:dyDescent="0.25">
      <c r="A37" s="104"/>
      <c r="B37" s="81" t="s">
        <v>138</v>
      </c>
      <c r="C37" s="303" t="s">
        <v>1082</v>
      </c>
      <c r="D37" s="304"/>
      <c r="E37" s="304"/>
      <c r="F37" s="304"/>
      <c r="G37" s="304"/>
      <c r="H37" s="304"/>
      <c r="I37" s="304"/>
      <c r="J37" s="304"/>
      <c r="K37" s="304"/>
      <c r="L37" s="304"/>
      <c r="M37" s="305"/>
    </row>
    <row r="38" spans="1:74" x14ac:dyDescent="0.25">
      <c r="A38" s="105" t="s">
        <v>129</v>
      </c>
      <c r="B38" s="74" t="s">
        <v>209</v>
      </c>
      <c r="C38" s="314" t="s">
        <v>218</v>
      </c>
      <c r="D38" s="315"/>
      <c r="E38" s="75" t="s">
        <v>87</v>
      </c>
      <c r="F38" s="75" t="s">
        <v>87</v>
      </c>
      <c r="G38" s="75" t="s">
        <v>87</v>
      </c>
      <c r="H38" s="67">
        <f>SUM(H39:H45)</f>
        <v>0</v>
      </c>
      <c r="I38" s="67">
        <f>SUM(I39:I45)</f>
        <v>0</v>
      </c>
      <c r="J38" s="67">
        <f>SUM(J39:J45)</f>
        <v>0</v>
      </c>
      <c r="K38" s="71" t="s">
        <v>129</v>
      </c>
      <c r="L38" s="67">
        <f>SUM(L39:L45)</f>
        <v>0</v>
      </c>
      <c r="M38" s="106" t="s">
        <v>129</v>
      </c>
      <c r="AG38" s="71" t="s">
        <v>129</v>
      </c>
      <c r="AQ38" s="67">
        <f>SUM(AH39:AH45)</f>
        <v>0</v>
      </c>
      <c r="AR38" s="67">
        <f>SUM(AI39:AI45)</f>
        <v>0</v>
      </c>
      <c r="AS38" s="67">
        <f>SUM(AJ39:AJ45)</f>
        <v>0</v>
      </c>
    </row>
    <row r="39" spans="1:74" x14ac:dyDescent="0.25">
      <c r="A39" s="92" t="s">
        <v>172</v>
      </c>
      <c r="B39" s="69" t="s">
        <v>220</v>
      </c>
      <c r="C39" s="306" t="s">
        <v>221</v>
      </c>
      <c r="D39" s="307"/>
      <c r="E39" s="69" t="s">
        <v>177</v>
      </c>
      <c r="F39" s="77">
        <v>3.31</v>
      </c>
      <c r="G39" s="218">
        <v>0</v>
      </c>
      <c r="H39" s="77">
        <f>F39*AM39</f>
        <v>0</v>
      </c>
      <c r="I39" s="77">
        <f>F39*AN39</f>
        <v>0</v>
      </c>
      <c r="J39" s="77">
        <f>F39*G39</f>
        <v>0</v>
      </c>
      <c r="K39" s="77">
        <v>0</v>
      </c>
      <c r="L39" s="77">
        <f>F39*K39</f>
        <v>0</v>
      </c>
      <c r="M39" s="103" t="s">
        <v>35</v>
      </c>
      <c r="X39" s="77">
        <f>IF(AO39="5",BH39,0)</f>
        <v>0</v>
      </c>
      <c r="Z39" s="77">
        <f>IF(AO39="1",BF39,0)</f>
        <v>0</v>
      </c>
      <c r="AA39" s="77">
        <f>IF(AO39="1",BG39,0)</f>
        <v>0</v>
      </c>
      <c r="AB39" s="77">
        <f>IF(AO39="7",BF39,0)</f>
        <v>0</v>
      </c>
      <c r="AC39" s="77">
        <f>IF(AO39="7",BG39,0)</f>
        <v>0</v>
      </c>
      <c r="AD39" s="77">
        <f>IF(AO39="2",BF39,0)</f>
        <v>0</v>
      </c>
      <c r="AE39" s="77">
        <f>IF(AO39="2",BG39,0)</f>
        <v>0</v>
      </c>
      <c r="AF39" s="77">
        <f>IF(AO39="0",BH39,0)</f>
        <v>0</v>
      </c>
      <c r="AG39" s="71" t="s">
        <v>129</v>
      </c>
      <c r="AH39" s="77">
        <f>IF(AL39=0,J39,0)</f>
        <v>0</v>
      </c>
      <c r="AI39" s="77">
        <f>IF(AL39=15,J39,0)</f>
        <v>0</v>
      </c>
      <c r="AJ39" s="77">
        <f>IF(AL39=21,J39,0)</f>
        <v>0</v>
      </c>
      <c r="AL39" s="77">
        <v>15</v>
      </c>
      <c r="AM39" s="77">
        <f>G39*0</f>
        <v>0</v>
      </c>
      <c r="AN39" s="77">
        <f>G39*(1-0)</f>
        <v>0</v>
      </c>
      <c r="AO39" s="79" t="s">
        <v>132</v>
      </c>
      <c r="AT39" s="77">
        <f>AU39+AV39</f>
        <v>0</v>
      </c>
      <c r="AU39" s="77">
        <f>F39*AM39</f>
        <v>0</v>
      </c>
      <c r="AV39" s="77">
        <f>F39*AN39</f>
        <v>0</v>
      </c>
      <c r="AW39" s="79" t="s">
        <v>222</v>
      </c>
      <c r="AX39" s="79" t="s">
        <v>147</v>
      </c>
      <c r="AY39" s="71" t="s">
        <v>137</v>
      </c>
      <c r="BA39" s="77">
        <f>AU39+AV39</f>
        <v>0</v>
      </c>
      <c r="BB39" s="77">
        <f>G39/(100-BC39)*100</f>
        <v>0</v>
      </c>
      <c r="BC39" s="77">
        <v>0</v>
      </c>
      <c r="BD39" s="77">
        <f>L39</f>
        <v>0</v>
      </c>
      <c r="BF39" s="77">
        <f>F39*AM39</f>
        <v>0</v>
      </c>
      <c r="BG39" s="77">
        <f>F39*AN39</f>
        <v>0</v>
      </c>
      <c r="BH39" s="77">
        <f>F39*G39</f>
        <v>0</v>
      </c>
      <c r="BI39" s="77"/>
      <c r="BJ39" s="77">
        <v>16</v>
      </c>
      <c r="BU39" s="77" t="e">
        <f>#REF!</f>
        <v>#REF!</v>
      </c>
      <c r="BV39" s="70" t="s">
        <v>221</v>
      </c>
    </row>
    <row r="40" spans="1:74" ht="67.5" customHeight="1" x14ac:dyDescent="0.25">
      <c r="A40" s="104"/>
      <c r="B40" s="81" t="s">
        <v>138</v>
      </c>
      <c r="C40" s="303" t="s">
        <v>1083</v>
      </c>
      <c r="D40" s="304"/>
      <c r="E40" s="304"/>
      <c r="F40" s="304"/>
      <c r="G40" s="304"/>
      <c r="H40" s="304"/>
      <c r="I40" s="304"/>
      <c r="J40" s="304"/>
      <c r="K40" s="304"/>
      <c r="L40" s="304"/>
      <c r="M40" s="305"/>
    </row>
    <row r="41" spans="1:74" x14ac:dyDescent="0.25">
      <c r="A41" s="92" t="s">
        <v>180</v>
      </c>
      <c r="B41" s="69" t="s">
        <v>918</v>
      </c>
      <c r="C41" s="306" t="s">
        <v>230</v>
      </c>
      <c r="D41" s="307"/>
      <c r="E41" s="69" t="s">
        <v>177</v>
      </c>
      <c r="F41" s="77">
        <v>1.95</v>
      </c>
      <c r="G41" s="218">
        <v>0</v>
      </c>
      <c r="H41" s="77">
        <f>F41*AM41</f>
        <v>0</v>
      </c>
      <c r="I41" s="77">
        <f>F41*AN41</f>
        <v>0</v>
      </c>
      <c r="J41" s="77">
        <f>F41*G41</f>
        <v>0</v>
      </c>
      <c r="K41" s="77">
        <v>0</v>
      </c>
      <c r="L41" s="77">
        <f>F41*K41</f>
        <v>0</v>
      </c>
      <c r="M41" s="103" t="s">
        <v>35</v>
      </c>
      <c r="X41" s="77">
        <f>IF(AO41="5",BH41,0)</f>
        <v>0</v>
      </c>
      <c r="Z41" s="77">
        <f>IF(AO41="1",BF41,0)</f>
        <v>0</v>
      </c>
      <c r="AA41" s="77">
        <f>IF(AO41="1",BG41,0)</f>
        <v>0</v>
      </c>
      <c r="AB41" s="77">
        <f>IF(AO41="7",BF41,0)</f>
        <v>0</v>
      </c>
      <c r="AC41" s="77">
        <f>IF(AO41="7",BG41,0)</f>
        <v>0</v>
      </c>
      <c r="AD41" s="77">
        <f>IF(AO41="2",BF41,0)</f>
        <v>0</v>
      </c>
      <c r="AE41" s="77">
        <f>IF(AO41="2",BG41,0)</f>
        <v>0</v>
      </c>
      <c r="AF41" s="77">
        <f>IF(AO41="0",BH41,0)</f>
        <v>0</v>
      </c>
      <c r="AG41" s="71" t="s">
        <v>129</v>
      </c>
      <c r="AH41" s="77">
        <f>IF(AL41=0,J41,0)</f>
        <v>0</v>
      </c>
      <c r="AI41" s="77">
        <f>IF(AL41=15,J41,0)</f>
        <v>0</v>
      </c>
      <c r="AJ41" s="77">
        <f>IF(AL41=21,J41,0)</f>
        <v>0</v>
      </c>
      <c r="AL41" s="77">
        <v>15</v>
      </c>
      <c r="AM41" s="77">
        <f>G41*0</f>
        <v>0</v>
      </c>
      <c r="AN41" s="77">
        <f>G41*(1-0)</f>
        <v>0</v>
      </c>
      <c r="AO41" s="79" t="s">
        <v>132</v>
      </c>
      <c r="AT41" s="77">
        <f>AU41+AV41</f>
        <v>0</v>
      </c>
      <c r="AU41" s="77">
        <f>F41*AM41</f>
        <v>0</v>
      </c>
      <c r="AV41" s="77">
        <f>F41*AN41</f>
        <v>0</v>
      </c>
      <c r="AW41" s="79" t="s">
        <v>222</v>
      </c>
      <c r="AX41" s="79" t="s">
        <v>147</v>
      </c>
      <c r="AY41" s="71" t="s">
        <v>137</v>
      </c>
      <c r="BA41" s="77">
        <f>AU41+AV41</f>
        <v>0</v>
      </c>
      <c r="BB41" s="77">
        <f>G41/(100-BC41)*100</f>
        <v>0</v>
      </c>
      <c r="BC41" s="77">
        <v>0</v>
      </c>
      <c r="BD41" s="77">
        <f>L41</f>
        <v>0</v>
      </c>
      <c r="BF41" s="77">
        <f>F41*AM41</f>
        <v>0</v>
      </c>
      <c r="BG41" s="77">
        <f>F41*AN41</f>
        <v>0</v>
      </c>
      <c r="BH41" s="77">
        <f>F41*G41</f>
        <v>0</v>
      </c>
      <c r="BI41" s="77"/>
      <c r="BJ41" s="77">
        <v>16</v>
      </c>
      <c r="BU41" s="77" t="e">
        <f>#REF!</f>
        <v>#REF!</v>
      </c>
      <c r="BV41" s="70" t="s">
        <v>230</v>
      </c>
    </row>
    <row r="42" spans="1:74" ht="67.5" customHeight="1" x14ac:dyDescent="0.25">
      <c r="A42" s="104"/>
      <c r="B42" s="81" t="s">
        <v>138</v>
      </c>
      <c r="C42" s="303" t="s">
        <v>1084</v>
      </c>
      <c r="D42" s="304"/>
      <c r="E42" s="304"/>
      <c r="F42" s="304"/>
      <c r="G42" s="304"/>
      <c r="H42" s="304"/>
      <c r="I42" s="304"/>
      <c r="J42" s="304"/>
      <c r="K42" s="304"/>
      <c r="L42" s="304"/>
      <c r="M42" s="305"/>
    </row>
    <row r="43" spans="1:74" x14ac:dyDescent="0.25">
      <c r="A43" s="92" t="s">
        <v>200</v>
      </c>
      <c r="B43" s="69" t="s">
        <v>840</v>
      </c>
      <c r="C43" s="306" t="s">
        <v>969</v>
      </c>
      <c r="D43" s="307"/>
      <c r="E43" s="69" t="s">
        <v>177</v>
      </c>
      <c r="F43" s="77">
        <v>9.34</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15</v>
      </c>
      <c r="AM43" s="77">
        <f>G43*0</f>
        <v>0</v>
      </c>
      <c r="AN43" s="77">
        <f>G43*(1-0)</f>
        <v>0</v>
      </c>
      <c r="AO43" s="79" t="s">
        <v>132</v>
      </c>
      <c r="AT43" s="77">
        <f>AU43+AV43</f>
        <v>0</v>
      </c>
      <c r="AU43" s="77">
        <f>F43*AM43</f>
        <v>0</v>
      </c>
      <c r="AV43" s="77">
        <f>F43*AN43</f>
        <v>0</v>
      </c>
      <c r="AW43" s="79" t="s">
        <v>222</v>
      </c>
      <c r="AX43" s="79" t="s">
        <v>147</v>
      </c>
      <c r="AY43" s="71" t="s">
        <v>137</v>
      </c>
      <c r="BA43" s="77">
        <f>AU43+AV43</f>
        <v>0</v>
      </c>
      <c r="BB43" s="77">
        <f>G43/(100-BC43)*100</f>
        <v>0</v>
      </c>
      <c r="BC43" s="77">
        <v>0</v>
      </c>
      <c r="BD43" s="77">
        <f>L43</f>
        <v>0</v>
      </c>
      <c r="BF43" s="77">
        <f>F43*AM43</f>
        <v>0</v>
      </c>
      <c r="BG43" s="77">
        <f>F43*AN43</f>
        <v>0</v>
      </c>
      <c r="BH43" s="77">
        <f>F43*G43</f>
        <v>0</v>
      </c>
      <c r="BI43" s="77"/>
      <c r="BJ43" s="77">
        <v>16</v>
      </c>
      <c r="BU43" s="77" t="e">
        <f>#REF!</f>
        <v>#REF!</v>
      </c>
      <c r="BV43" s="70" t="s">
        <v>969</v>
      </c>
    </row>
    <row r="44" spans="1:74" ht="40.5" customHeight="1" x14ac:dyDescent="0.25">
      <c r="A44" s="104"/>
      <c r="B44" s="81" t="s">
        <v>138</v>
      </c>
      <c r="C44" s="303" t="s">
        <v>1085</v>
      </c>
      <c r="D44" s="304"/>
      <c r="E44" s="304"/>
      <c r="F44" s="304"/>
      <c r="G44" s="304"/>
      <c r="H44" s="304"/>
      <c r="I44" s="304"/>
      <c r="J44" s="304"/>
      <c r="K44" s="304"/>
      <c r="L44" s="304"/>
      <c r="M44" s="305"/>
    </row>
    <row r="45" spans="1:74" x14ac:dyDescent="0.25">
      <c r="A45" s="92" t="s">
        <v>204</v>
      </c>
      <c r="B45" s="69" t="s">
        <v>241</v>
      </c>
      <c r="C45" s="306" t="s">
        <v>242</v>
      </c>
      <c r="D45" s="307"/>
      <c r="E45" s="69" t="s">
        <v>177</v>
      </c>
      <c r="F45" s="77">
        <v>9.34</v>
      </c>
      <c r="G45" s="218">
        <v>0</v>
      </c>
      <c r="H45" s="77">
        <f>F45*AM45</f>
        <v>0</v>
      </c>
      <c r="I45" s="77">
        <f>F45*AN45</f>
        <v>0</v>
      </c>
      <c r="J45" s="77">
        <f>F45*G45</f>
        <v>0</v>
      </c>
      <c r="K45" s="77">
        <v>0</v>
      </c>
      <c r="L45" s="77">
        <f>F45*K45</f>
        <v>0</v>
      </c>
      <c r="M45" s="103" t="s">
        <v>35</v>
      </c>
      <c r="X45" s="77">
        <f>IF(AO45="5",BH45,0)</f>
        <v>0</v>
      </c>
      <c r="Z45" s="77">
        <f>IF(AO45="1",BF45,0)</f>
        <v>0</v>
      </c>
      <c r="AA45" s="77">
        <f>IF(AO45="1",BG45,0)</f>
        <v>0</v>
      </c>
      <c r="AB45" s="77">
        <f>IF(AO45="7",BF45,0)</f>
        <v>0</v>
      </c>
      <c r="AC45" s="77">
        <f>IF(AO45="7",BG45,0)</f>
        <v>0</v>
      </c>
      <c r="AD45" s="77">
        <f>IF(AO45="2",BF45,0)</f>
        <v>0</v>
      </c>
      <c r="AE45" s="77">
        <f>IF(AO45="2",BG45,0)</f>
        <v>0</v>
      </c>
      <c r="AF45" s="77">
        <f>IF(AO45="0",BH45,0)</f>
        <v>0</v>
      </c>
      <c r="AG45" s="71" t="s">
        <v>129</v>
      </c>
      <c r="AH45" s="77">
        <f>IF(AL45=0,J45,0)</f>
        <v>0</v>
      </c>
      <c r="AI45" s="77">
        <f>IF(AL45=15,J45,0)</f>
        <v>0</v>
      </c>
      <c r="AJ45" s="77">
        <f>IF(AL45=21,J45,0)</f>
        <v>0</v>
      </c>
      <c r="AL45" s="77">
        <v>15</v>
      </c>
      <c r="AM45" s="77">
        <f>G45*0</f>
        <v>0</v>
      </c>
      <c r="AN45" s="77">
        <f>G45*(1-0)</f>
        <v>0</v>
      </c>
      <c r="AO45" s="79" t="s">
        <v>132</v>
      </c>
      <c r="AT45" s="77">
        <f>AU45+AV45</f>
        <v>0</v>
      </c>
      <c r="AU45" s="77">
        <f>F45*AM45</f>
        <v>0</v>
      </c>
      <c r="AV45" s="77">
        <f>F45*AN45</f>
        <v>0</v>
      </c>
      <c r="AW45" s="79" t="s">
        <v>222</v>
      </c>
      <c r="AX45" s="79" t="s">
        <v>147</v>
      </c>
      <c r="AY45" s="71" t="s">
        <v>137</v>
      </c>
      <c r="BA45" s="77">
        <f>AU45+AV45</f>
        <v>0</v>
      </c>
      <c r="BB45" s="77">
        <f>G45/(100-BC45)*100</f>
        <v>0</v>
      </c>
      <c r="BC45" s="77">
        <v>0</v>
      </c>
      <c r="BD45" s="77">
        <f>L45</f>
        <v>0</v>
      </c>
      <c r="BF45" s="77">
        <f>F45*AM45</f>
        <v>0</v>
      </c>
      <c r="BG45" s="77">
        <f>F45*AN45</f>
        <v>0</v>
      </c>
      <c r="BH45" s="77">
        <f>F45*G45</f>
        <v>0</v>
      </c>
      <c r="BI45" s="77"/>
      <c r="BJ45" s="77">
        <v>16</v>
      </c>
      <c r="BU45" s="77" t="e">
        <f>#REF!</f>
        <v>#REF!</v>
      </c>
      <c r="BV45" s="70" t="s">
        <v>242</v>
      </c>
    </row>
    <row r="46" spans="1:74" ht="40.5" customHeight="1" x14ac:dyDescent="0.25">
      <c r="A46" s="104"/>
      <c r="B46" s="81" t="s">
        <v>138</v>
      </c>
      <c r="C46" s="303" t="s">
        <v>1086</v>
      </c>
      <c r="D46" s="304"/>
      <c r="E46" s="304"/>
      <c r="F46" s="304"/>
      <c r="G46" s="304"/>
      <c r="H46" s="304"/>
      <c r="I46" s="304"/>
      <c r="J46" s="304"/>
      <c r="K46" s="304"/>
      <c r="L46" s="304"/>
      <c r="M46" s="305"/>
    </row>
    <row r="47" spans="1:74" x14ac:dyDescent="0.25">
      <c r="A47" s="105" t="s">
        <v>129</v>
      </c>
      <c r="B47" s="74" t="s">
        <v>214</v>
      </c>
      <c r="C47" s="314" t="s">
        <v>244</v>
      </c>
      <c r="D47" s="315"/>
      <c r="E47" s="75" t="s">
        <v>87</v>
      </c>
      <c r="F47" s="75" t="s">
        <v>87</v>
      </c>
      <c r="G47" s="75" t="s">
        <v>87</v>
      </c>
      <c r="H47" s="67">
        <f>SUM(H48:H52)</f>
        <v>0</v>
      </c>
      <c r="I47" s="67">
        <f>SUM(I48:I52)</f>
        <v>0</v>
      </c>
      <c r="J47" s="67">
        <f>SUM(J48:J52)</f>
        <v>0</v>
      </c>
      <c r="K47" s="71" t="s">
        <v>129</v>
      </c>
      <c r="L47" s="67">
        <f>SUM(L48:L52)</f>
        <v>2.3969999999999998</v>
      </c>
      <c r="M47" s="106" t="s">
        <v>129</v>
      </c>
      <c r="AG47" s="71" t="s">
        <v>129</v>
      </c>
      <c r="AQ47" s="67">
        <f>SUM(AH48:AH52)</f>
        <v>0</v>
      </c>
      <c r="AR47" s="67">
        <f>SUM(AI48:AI52)</f>
        <v>0</v>
      </c>
      <c r="AS47" s="67">
        <f>SUM(AJ48:AJ52)</f>
        <v>0</v>
      </c>
    </row>
    <row r="48" spans="1:74" x14ac:dyDescent="0.25">
      <c r="A48" s="92" t="s">
        <v>209</v>
      </c>
      <c r="B48" s="69" t="s">
        <v>246</v>
      </c>
      <c r="C48" s="306" t="s">
        <v>247</v>
      </c>
      <c r="D48" s="307"/>
      <c r="E48" s="69" t="s">
        <v>177</v>
      </c>
      <c r="F48" s="77">
        <v>1.41</v>
      </c>
      <c r="G48" s="218">
        <v>0</v>
      </c>
      <c r="H48" s="77">
        <f>F48*AM48</f>
        <v>0</v>
      </c>
      <c r="I48" s="77">
        <f>F48*AN48</f>
        <v>0</v>
      </c>
      <c r="J48" s="77">
        <f>F48*G48</f>
        <v>0</v>
      </c>
      <c r="K48" s="77">
        <v>1.7</v>
      </c>
      <c r="L48" s="77">
        <f>F48*K48</f>
        <v>2.3969999999999998</v>
      </c>
      <c r="M48" s="103" t="s">
        <v>35</v>
      </c>
      <c r="X48" s="77">
        <f>IF(AO48="5",BH48,0)</f>
        <v>0</v>
      </c>
      <c r="Z48" s="77">
        <f>IF(AO48="1",BF48,0)</f>
        <v>0</v>
      </c>
      <c r="AA48" s="77">
        <f>IF(AO48="1",BG48,0)</f>
        <v>0</v>
      </c>
      <c r="AB48" s="77">
        <f>IF(AO48="7",BF48,0)</f>
        <v>0</v>
      </c>
      <c r="AC48" s="77">
        <f>IF(AO48="7",BG48,0)</f>
        <v>0</v>
      </c>
      <c r="AD48" s="77">
        <f>IF(AO48="2",BF48,0)</f>
        <v>0</v>
      </c>
      <c r="AE48" s="77">
        <f>IF(AO48="2",BG48,0)</f>
        <v>0</v>
      </c>
      <c r="AF48" s="77">
        <f>IF(AO48="0",BH48,0)</f>
        <v>0</v>
      </c>
      <c r="AG48" s="71" t="s">
        <v>129</v>
      </c>
      <c r="AH48" s="77">
        <f>IF(AL48=0,J48,0)</f>
        <v>0</v>
      </c>
      <c r="AI48" s="77">
        <f>IF(AL48=15,J48,0)</f>
        <v>0</v>
      </c>
      <c r="AJ48" s="77">
        <f>IF(AL48=21,J48,0)</f>
        <v>0</v>
      </c>
      <c r="AL48" s="77">
        <v>15</v>
      </c>
      <c r="AM48" s="77">
        <f>G48*0.512964852</f>
        <v>0</v>
      </c>
      <c r="AN48" s="77">
        <f>G48*(1-0.512964852)</f>
        <v>0</v>
      </c>
      <c r="AO48" s="79" t="s">
        <v>132</v>
      </c>
      <c r="AT48" s="77">
        <f>AU48+AV48</f>
        <v>0</v>
      </c>
      <c r="AU48" s="77">
        <f>F48*AM48</f>
        <v>0</v>
      </c>
      <c r="AV48" s="77">
        <f>F48*AN48</f>
        <v>0</v>
      </c>
      <c r="AW48" s="79" t="s">
        <v>248</v>
      </c>
      <c r="AX48" s="79" t="s">
        <v>147</v>
      </c>
      <c r="AY48" s="71" t="s">
        <v>137</v>
      </c>
      <c r="BA48" s="77">
        <f>AU48+AV48</f>
        <v>0</v>
      </c>
      <c r="BB48" s="77">
        <f>G48/(100-BC48)*100</f>
        <v>0</v>
      </c>
      <c r="BC48" s="77">
        <v>0</v>
      </c>
      <c r="BD48" s="77">
        <f>L48</f>
        <v>2.3969999999999998</v>
      </c>
      <c r="BF48" s="77">
        <f>F48*AM48</f>
        <v>0</v>
      </c>
      <c r="BG48" s="77">
        <f>F48*AN48</f>
        <v>0</v>
      </c>
      <c r="BH48" s="77">
        <f>F48*G48</f>
        <v>0</v>
      </c>
      <c r="BI48" s="77"/>
      <c r="BJ48" s="77">
        <v>17</v>
      </c>
      <c r="BU48" s="77" t="e">
        <f>#REF!</f>
        <v>#REF!</v>
      </c>
      <c r="BV48" s="70" t="s">
        <v>247</v>
      </c>
    </row>
    <row r="49" spans="1:74" ht="54" customHeight="1" x14ac:dyDescent="0.25">
      <c r="A49" s="104"/>
      <c r="B49" s="81" t="s">
        <v>138</v>
      </c>
      <c r="C49" s="303" t="s">
        <v>1087</v>
      </c>
      <c r="D49" s="304"/>
      <c r="E49" s="304"/>
      <c r="F49" s="304"/>
      <c r="G49" s="304"/>
      <c r="H49" s="304"/>
      <c r="I49" s="304"/>
      <c r="J49" s="304"/>
      <c r="K49" s="304"/>
      <c r="L49" s="304"/>
      <c r="M49" s="305"/>
    </row>
    <row r="50" spans="1:74" x14ac:dyDescent="0.25">
      <c r="A50" s="92" t="s">
        <v>214</v>
      </c>
      <c r="B50" s="69" t="s">
        <v>251</v>
      </c>
      <c r="C50" s="306" t="s">
        <v>252</v>
      </c>
      <c r="D50" s="307"/>
      <c r="E50" s="69" t="s">
        <v>177</v>
      </c>
      <c r="F50" s="77">
        <v>1.41</v>
      </c>
      <c r="G50" s="218">
        <v>0</v>
      </c>
      <c r="H50" s="77">
        <f>F50*AM50</f>
        <v>0</v>
      </c>
      <c r="I50" s="77">
        <f>F50*AN50</f>
        <v>0</v>
      </c>
      <c r="J50" s="77">
        <f>F50*G50</f>
        <v>0</v>
      </c>
      <c r="K50" s="77">
        <v>0</v>
      </c>
      <c r="L50" s="77">
        <f>F50*K50</f>
        <v>0</v>
      </c>
      <c r="M50" s="103" t="s">
        <v>35</v>
      </c>
      <c r="X50" s="77">
        <f>IF(AO50="5",BH50,0)</f>
        <v>0</v>
      </c>
      <c r="Z50" s="77">
        <f>IF(AO50="1",BF50,0)</f>
        <v>0</v>
      </c>
      <c r="AA50" s="77">
        <f>IF(AO50="1",BG50,0)</f>
        <v>0</v>
      </c>
      <c r="AB50" s="77">
        <f>IF(AO50="7",BF50,0)</f>
        <v>0</v>
      </c>
      <c r="AC50" s="77">
        <f>IF(AO50="7",BG50,0)</f>
        <v>0</v>
      </c>
      <c r="AD50" s="77">
        <f>IF(AO50="2",BF50,0)</f>
        <v>0</v>
      </c>
      <c r="AE50" s="77">
        <f>IF(AO50="2",BG50,0)</f>
        <v>0</v>
      </c>
      <c r="AF50" s="77">
        <f>IF(AO50="0",BH50,0)</f>
        <v>0</v>
      </c>
      <c r="AG50" s="71" t="s">
        <v>129</v>
      </c>
      <c r="AH50" s="77">
        <f>IF(AL50=0,J50,0)</f>
        <v>0</v>
      </c>
      <c r="AI50" s="77">
        <f>IF(AL50=15,J50,0)</f>
        <v>0</v>
      </c>
      <c r="AJ50" s="77">
        <f>IF(AL50=21,J50,0)</f>
        <v>0</v>
      </c>
      <c r="AL50" s="77">
        <v>15</v>
      </c>
      <c r="AM50" s="77">
        <f>G50*0</f>
        <v>0</v>
      </c>
      <c r="AN50" s="77">
        <f>G50*(1-0)</f>
        <v>0</v>
      </c>
      <c r="AO50" s="79" t="s">
        <v>132</v>
      </c>
      <c r="AT50" s="77">
        <f>AU50+AV50</f>
        <v>0</v>
      </c>
      <c r="AU50" s="77">
        <f>F50*AM50</f>
        <v>0</v>
      </c>
      <c r="AV50" s="77">
        <f>F50*AN50</f>
        <v>0</v>
      </c>
      <c r="AW50" s="79" t="s">
        <v>248</v>
      </c>
      <c r="AX50" s="79" t="s">
        <v>147</v>
      </c>
      <c r="AY50" s="71" t="s">
        <v>137</v>
      </c>
      <c r="BA50" s="77">
        <f>AU50+AV50</f>
        <v>0</v>
      </c>
      <c r="BB50" s="77">
        <f>G50/(100-BC50)*100</f>
        <v>0</v>
      </c>
      <c r="BC50" s="77">
        <v>0</v>
      </c>
      <c r="BD50" s="77">
        <f>L50</f>
        <v>0</v>
      </c>
      <c r="BF50" s="77">
        <f>F50*AM50</f>
        <v>0</v>
      </c>
      <c r="BG50" s="77">
        <f>F50*AN50</f>
        <v>0</v>
      </c>
      <c r="BH50" s="77">
        <f>F50*G50</f>
        <v>0</v>
      </c>
      <c r="BI50" s="77"/>
      <c r="BJ50" s="77">
        <v>17</v>
      </c>
      <c r="BU50" s="77" t="e">
        <f>#REF!</f>
        <v>#REF!</v>
      </c>
      <c r="BV50" s="70" t="s">
        <v>252</v>
      </c>
    </row>
    <row r="51" spans="1:74" ht="40.5" customHeight="1" thickBot="1" x14ac:dyDescent="0.3">
      <c r="A51" s="107"/>
      <c r="B51" s="108" t="s">
        <v>138</v>
      </c>
      <c r="C51" s="308" t="s">
        <v>1088</v>
      </c>
      <c r="D51" s="309"/>
      <c r="E51" s="309"/>
      <c r="F51" s="309"/>
      <c r="G51" s="309"/>
      <c r="H51" s="309"/>
      <c r="I51" s="309"/>
      <c r="J51" s="309"/>
      <c r="K51" s="309"/>
      <c r="L51" s="309"/>
      <c r="M51" s="310"/>
    </row>
    <row r="52" spans="1:74" x14ac:dyDescent="0.25">
      <c r="A52" s="122" t="s">
        <v>219</v>
      </c>
      <c r="B52" s="109" t="s">
        <v>254</v>
      </c>
      <c r="C52" s="312" t="s">
        <v>255</v>
      </c>
      <c r="D52" s="313"/>
      <c r="E52" s="109" t="s">
        <v>177</v>
      </c>
      <c r="F52" s="123">
        <v>4.67</v>
      </c>
      <c r="G52" s="219">
        <v>0</v>
      </c>
      <c r="H52" s="123">
        <f>F52*AM52</f>
        <v>0</v>
      </c>
      <c r="I52" s="123">
        <f>F52*AN52</f>
        <v>0</v>
      </c>
      <c r="J52" s="123">
        <f>F52*G52</f>
        <v>0</v>
      </c>
      <c r="K52" s="123">
        <v>0</v>
      </c>
      <c r="L52" s="123">
        <f>F52*K52</f>
        <v>0</v>
      </c>
      <c r="M52" s="124"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15</v>
      </c>
      <c r="AM52" s="77">
        <f>G52*0</f>
        <v>0</v>
      </c>
      <c r="AN52" s="77">
        <f>G52*(1-0)</f>
        <v>0</v>
      </c>
      <c r="AO52" s="79" t="s">
        <v>132</v>
      </c>
      <c r="AT52" s="77">
        <f>AU52+AV52</f>
        <v>0</v>
      </c>
      <c r="AU52" s="77">
        <f>F52*AM52</f>
        <v>0</v>
      </c>
      <c r="AV52" s="77">
        <f>F52*AN52</f>
        <v>0</v>
      </c>
      <c r="AW52" s="79" t="s">
        <v>248</v>
      </c>
      <c r="AX52" s="79" t="s">
        <v>147</v>
      </c>
      <c r="AY52" s="71" t="s">
        <v>137</v>
      </c>
      <c r="BA52" s="77">
        <f>AU52+AV52</f>
        <v>0</v>
      </c>
      <c r="BB52" s="77">
        <f>G52/(100-BC52)*100</f>
        <v>0</v>
      </c>
      <c r="BC52" s="77">
        <v>0</v>
      </c>
      <c r="BD52" s="77">
        <f>L52</f>
        <v>0</v>
      </c>
      <c r="BF52" s="77">
        <f>F52*AM52</f>
        <v>0</v>
      </c>
      <c r="BG52" s="77">
        <f>F52*AN52</f>
        <v>0</v>
      </c>
      <c r="BH52" s="77">
        <f>F52*G52</f>
        <v>0</v>
      </c>
      <c r="BI52" s="77"/>
      <c r="BJ52" s="77">
        <v>17</v>
      </c>
      <c r="BU52" s="77" t="e">
        <f>#REF!</f>
        <v>#REF!</v>
      </c>
      <c r="BV52" s="70" t="s">
        <v>255</v>
      </c>
    </row>
    <row r="53" spans="1:74" ht="81" customHeight="1" x14ac:dyDescent="0.25">
      <c r="A53" s="104"/>
      <c r="B53" s="81" t="s">
        <v>138</v>
      </c>
      <c r="C53" s="303" t="s">
        <v>1089</v>
      </c>
      <c r="D53" s="304"/>
      <c r="E53" s="304"/>
      <c r="F53" s="304"/>
      <c r="G53" s="304"/>
      <c r="H53" s="304"/>
      <c r="I53" s="304"/>
      <c r="J53" s="304"/>
      <c r="K53" s="304"/>
      <c r="L53" s="304"/>
      <c r="M53" s="305"/>
    </row>
    <row r="54" spans="1:74" x14ac:dyDescent="0.25">
      <c r="A54" s="105" t="s">
        <v>129</v>
      </c>
      <c r="B54" s="74" t="s">
        <v>224</v>
      </c>
      <c r="C54" s="314" t="s">
        <v>257</v>
      </c>
      <c r="D54" s="315"/>
      <c r="E54" s="75" t="s">
        <v>87</v>
      </c>
      <c r="F54" s="75" t="s">
        <v>87</v>
      </c>
      <c r="G54" s="75" t="s">
        <v>87</v>
      </c>
      <c r="H54" s="67">
        <f>SUM(H55:H55)</f>
        <v>0</v>
      </c>
      <c r="I54" s="67">
        <f>SUM(I55:I55)</f>
        <v>0</v>
      </c>
      <c r="J54" s="67">
        <f>SUM(J55:J55)</f>
        <v>0</v>
      </c>
      <c r="K54" s="71" t="s">
        <v>129</v>
      </c>
      <c r="L54" s="67">
        <f>SUM(L55:L55)</f>
        <v>0</v>
      </c>
      <c r="M54" s="106" t="s">
        <v>129</v>
      </c>
      <c r="AG54" s="71" t="s">
        <v>129</v>
      </c>
      <c r="AQ54" s="67">
        <f>SUM(AH55:AH55)</f>
        <v>0</v>
      </c>
      <c r="AR54" s="67">
        <f>SUM(AI55:AI55)</f>
        <v>0</v>
      </c>
      <c r="AS54" s="67">
        <f>SUM(AJ55:AJ55)</f>
        <v>0</v>
      </c>
    </row>
    <row r="55" spans="1:74" x14ac:dyDescent="0.25">
      <c r="A55" s="92" t="s">
        <v>224</v>
      </c>
      <c r="B55" s="69" t="s">
        <v>259</v>
      </c>
      <c r="C55" s="306" t="s">
        <v>260</v>
      </c>
      <c r="D55" s="307"/>
      <c r="E55" s="69" t="s">
        <v>177</v>
      </c>
      <c r="F55" s="77">
        <v>1.95</v>
      </c>
      <c r="G55" s="218">
        <v>0</v>
      </c>
      <c r="H55" s="77">
        <f>F55*AM55</f>
        <v>0</v>
      </c>
      <c r="I55" s="77">
        <f>F55*AN55</f>
        <v>0</v>
      </c>
      <c r="J55" s="77">
        <f>F55*G55</f>
        <v>0</v>
      </c>
      <c r="K55" s="77">
        <v>0</v>
      </c>
      <c r="L55" s="77">
        <f>F55*K55</f>
        <v>0</v>
      </c>
      <c r="M55" s="103" t="s">
        <v>35</v>
      </c>
      <c r="X55" s="77">
        <f>IF(AO55="5",BH55,0)</f>
        <v>0</v>
      </c>
      <c r="Z55" s="77">
        <f>IF(AO55="1",BF55,0)</f>
        <v>0</v>
      </c>
      <c r="AA55" s="77">
        <f>IF(AO55="1",BG55,0)</f>
        <v>0</v>
      </c>
      <c r="AB55" s="77">
        <f>IF(AO55="7",BF55,0)</f>
        <v>0</v>
      </c>
      <c r="AC55" s="77">
        <f>IF(AO55="7",BG55,0)</f>
        <v>0</v>
      </c>
      <c r="AD55" s="77">
        <f>IF(AO55="2",BF55,0)</f>
        <v>0</v>
      </c>
      <c r="AE55" s="77">
        <f>IF(AO55="2",BG55,0)</f>
        <v>0</v>
      </c>
      <c r="AF55" s="77">
        <f>IF(AO55="0",BH55,0)</f>
        <v>0</v>
      </c>
      <c r="AG55" s="71" t="s">
        <v>129</v>
      </c>
      <c r="AH55" s="77">
        <f>IF(AL55=0,J55,0)</f>
        <v>0</v>
      </c>
      <c r="AI55" s="77">
        <f>IF(AL55=15,J55,0)</f>
        <v>0</v>
      </c>
      <c r="AJ55" s="77">
        <f>IF(AL55=21,J55,0)</f>
        <v>0</v>
      </c>
      <c r="AL55" s="77">
        <v>15</v>
      </c>
      <c r="AM55" s="77">
        <f>G55*0</f>
        <v>0</v>
      </c>
      <c r="AN55" s="77">
        <f>G55*(1-0)</f>
        <v>0</v>
      </c>
      <c r="AO55" s="79" t="s">
        <v>132</v>
      </c>
      <c r="AT55" s="77">
        <f>AU55+AV55</f>
        <v>0</v>
      </c>
      <c r="AU55" s="77">
        <f>F55*AM55</f>
        <v>0</v>
      </c>
      <c r="AV55" s="77">
        <f>F55*AN55</f>
        <v>0</v>
      </c>
      <c r="AW55" s="79" t="s">
        <v>261</v>
      </c>
      <c r="AX55" s="79" t="s">
        <v>147</v>
      </c>
      <c r="AY55" s="71" t="s">
        <v>137</v>
      </c>
      <c r="BA55" s="77">
        <f>AU55+AV55</f>
        <v>0</v>
      </c>
      <c r="BB55" s="77">
        <f>G55/(100-BC55)*100</f>
        <v>0</v>
      </c>
      <c r="BC55" s="77">
        <v>0</v>
      </c>
      <c r="BD55" s="77">
        <f>L55</f>
        <v>0</v>
      </c>
      <c r="BF55" s="77">
        <f>F55*AM55</f>
        <v>0</v>
      </c>
      <c r="BG55" s="77">
        <f>F55*AN55</f>
        <v>0</v>
      </c>
      <c r="BH55" s="77">
        <f>F55*G55</f>
        <v>0</v>
      </c>
      <c r="BI55" s="77"/>
      <c r="BJ55" s="77">
        <v>19</v>
      </c>
      <c r="BU55" s="77" t="e">
        <f>#REF!</f>
        <v>#REF!</v>
      </c>
      <c r="BV55" s="70" t="s">
        <v>260</v>
      </c>
    </row>
    <row r="56" spans="1:74" ht="13.5" customHeight="1" x14ac:dyDescent="0.25">
      <c r="A56" s="104"/>
      <c r="B56" s="81" t="s">
        <v>138</v>
      </c>
      <c r="C56" s="303" t="s">
        <v>515</v>
      </c>
      <c r="D56" s="304"/>
      <c r="E56" s="304"/>
      <c r="F56" s="304"/>
      <c r="G56" s="304"/>
      <c r="H56" s="304"/>
      <c r="I56" s="304"/>
      <c r="J56" s="304"/>
      <c r="K56" s="304"/>
      <c r="L56" s="304"/>
      <c r="M56" s="305"/>
    </row>
    <row r="57" spans="1:74" x14ac:dyDescent="0.25">
      <c r="A57" s="105" t="s">
        <v>129</v>
      </c>
      <c r="B57" s="74" t="s">
        <v>232</v>
      </c>
      <c r="C57" s="314" t="s">
        <v>267</v>
      </c>
      <c r="D57" s="315"/>
      <c r="E57" s="75" t="s">
        <v>87</v>
      </c>
      <c r="F57" s="75" t="s">
        <v>87</v>
      </c>
      <c r="G57" s="75" t="s">
        <v>87</v>
      </c>
      <c r="H57" s="67">
        <f>SUM(H58:H58)</f>
        <v>0</v>
      </c>
      <c r="I57" s="67">
        <f>SUM(I58:I58)</f>
        <v>0</v>
      </c>
      <c r="J57" s="67">
        <f>SUM(J58:J58)</f>
        <v>0</v>
      </c>
      <c r="K57" s="71" t="s">
        <v>129</v>
      </c>
      <c r="L57" s="67">
        <f>SUM(L58:L58)</f>
        <v>0</v>
      </c>
      <c r="M57" s="106" t="s">
        <v>129</v>
      </c>
      <c r="AG57" s="71" t="s">
        <v>129</v>
      </c>
      <c r="AQ57" s="67">
        <f>SUM(AH58:AH58)</f>
        <v>0</v>
      </c>
      <c r="AR57" s="67">
        <f>SUM(AI58:AI58)</f>
        <v>0</v>
      </c>
      <c r="AS57" s="67">
        <f>SUM(AJ58:AJ58)</f>
        <v>0</v>
      </c>
    </row>
    <row r="58" spans="1:74" x14ac:dyDescent="0.25">
      <c r="A58" s="92" t="s">
        <v>228</v>
      </c>
      <c r="B58" s="69" t="s">
        <v>927</v>
      </c>
      <c r="C58" s="306" t="s">
        <v>270</v>
      </c>
      <c r="D58" s="307"/>
      <c r="E58" s="69" t="s">
        <v>166</v>
      </c>
      <c r="F58" s="77">
        <v>3.96</v>
      </c>
      <c r="G58" s="218">
        <v>0</v>
      </c>
      <c r="H58" s="77">
        <f>F58*AM58</f>
        <v>0</v>
      </c>
      <c r="I58" s="77">
        <f>F58*AN58</f>
        <v>0</v>
      </c>
      <c r="J58" s="77">
        <f>F58*G58</f>
        <v>0</v>
      </c>
      <c r="K58" s="77">
        <v>0</v>
      </c>
      <c r="L58" s="77">
        <f>F58*K58</f>
        <v>0</v>
      </c>
      <c r="M58" s="103" t="s">
        <v>35</v>
      </c>
      <c r="X58" s="77">
        <f>IF(AO58="5",BH58,0)</f>
        <v>0</v>
      </c>
      <c r="Z58" s="77">
        <f>IF(AO58="1",BF58,0)</f>
        <v>0</v>
      </c>
      <c r="AA58" s="77">
        <f>IF(AO58="1",BG58,0)</f>
        <v>0</v>
      </c>
      <c r="AB58" s="77">
        <f>IF(AO58="7",BF58,0)</f>
        <v>0</v>
      </c>
      <c r="AC58" s="77">
        <f>IF(AO58="7",BG58,0)</f>
        <v>0</v>
      </c>
      <c r="AD58" s="77">
        <f>IF(AO58="2",BF58,0)</f>
        <v>0</v>
      </c>
      <c r="AE58" s="77">
        <f>IF(AO58="2",BG58,0)</f>
        <v>0</v>
      </c>
      <c r="AF58" s="77">
        <f>IF(AO58="0",BH58,0)</f>
        <v>0</v>
      </c>
      <c r="AG58" s="71" t="s">
        <v>129</v>
      </c>
      <c r="AH58" s="77">
        <f>IF(AL58=0,J58,0)</f>
        <v>0</v>
      </c>
      <c r="AI58" s="77">
        <f>IF(AL58=15,J58,0)</f>
        <v>0</v>
      </c>
      <c r="AJ58" s="77">
        <f>IF(AL58=21,J58,0)</f>
        <v>0</v>
      </c>
      <c r="AL58" s="77">
        <v>15</v>
      </c>
      <c r="AM58" s="77">
        <f>G58*0</f>
        <v>0</v>
      </c>
      <c r="AN58" s="77">
        <f>G58*(1-0)</f>
        <v>0</v>
      </c>
      <c r="AO58" s="79" t="s">
        <v>132</v>
      </c>
      <c r="AT58" s="77">
        <f>AU58+AV58</f>
        <v>0</v>
      </c>
      <c r="AU58" s="77">
        <f>F58*AM58</f>
        <v>0</v>
      </c>
      <c r="AV58" s="77">
        <f>F58*AN58</f>
        <v>0</v>
      </c>
      <c r="AW58" s="79" t="s">
        <v>271</v>
      </c>
      <c r="AX58" s="79" t="s">
        <v>272</v>
      </c>
      <c r="AY58" s="71" t="s">
        <v>137</v>
      </c>
      <c r="BA58" s="77">
        <f>AU58+AV58</f>
        <v>0</v>
      </c>
      <c r="BB58" s="77">
        <f>G58/(100-BC58)*100</f>
        <v>0</v>
      </c>
      <c r="BC58" s="77">
        <v>0</v>
      </c>
      <c r="BD58" s="77">
        <f>L58</f>
        <v>0</v>
      </c>
      <c r="BF58" s="77">
        <f>F58*AM58</f>
        <v>0</v>
      </c>
      <c r="BG58" s="77">
        <f>F58*AN58</f>
        <v>0</v>
      </c>
      <c r="BH58" s="77">
        <f>F58*G58</f>
        <v>0</v>
      </c>
      <c r="BI58" s="77"/>
      <c r="BJ58" s="77">
        <v>21</v>
      </c>
      <c r="BU58" s="77" t="e">
        <f>#REF!</f>
        <v>#REF!</v>
      </c>
      <c r="BV58" s="70" t="s">
        <v>270</v>
      </c>
    </row>
    <row r="59" spans="1:74" ht="40.5" customHeight="1" x14ac:dyDescent="0.25">
      <c r="A59" s="104"/>
      <c r="B59" s="81" t="s">
        <v>138</v>
      </c>
      <c r="C59" s="303" t="s">
        <v>1090</v>
      </c>
      <c r="D59" s="304"/>
      <c r="E59" s="304"/>
      <c r="F59" s="304"/>
      <c r="G59" s="304"/>
      <c r="H59" s="304"/>
      <c r="I59" s="304"/>
      <c r="J59" s="304"/>
      <c r="K59" s="304"/>
      <c r="L59" s="304"/>
      <c r="M59" s="305"/>
    </row>
    <row r="60" spans="1:74" x14ac:dyDescent="0.25">
      <c r="A60" s="105" t="s">
        <v>129</v>
      </c>
      <c r="B60" s="74" t="s">
        <v>288</v>
      </c>
      <c r="C60" s="314" t="s">
        <v>289</v>
      </c>
      <c r="D60" s="315"/>
      <c r="E60" s="75" t="s">
        <v>87</v>
      </c>
      <c r="F60" s="75" t="s">
        <v>87</v>
      </c>
      <c r="G60" s="75" t="s">
        <v>87</v>
      </c>
      <c r="H60" s="67">
        <f>SUM(H61:H61)</f>
        <v>0</v>
      </c>
      <c r="I60" s="67">
        <f>SUM(I61:I61)</f>
        <v>0</v>
      </c>
      <c r="J60" s="67">
        <f>SUM(J61:J61)</f>
        <v>0</v>
      </c>
      <c r="K60" s="71" t="s">
        <v>129</v>
      </c>
      <c r="L60" s="67">
        <f>SUM(L61:L61)</f>
        <v>1.1155542999999999</v>
      </c>
      <c r="M60" s="106" t="s">
        <v>129</v>
      </c>
      <c r="AG60" s="71" t="s">
        <v>129</v>
      </c>
      <c r="AQ60" s="67">
        <f>SUM(AH61:AH61)</f>
        <v>0</v>
      </c>
      <c r="AR60" s="67">
        <f>SUM(AI61:AI61)</f>
        <v>0</v>
      </c>
      <c r="AS60" s="67">
        <f>SUM(AJ61:AJ61)</f>
        <v>0</v>
      </c>
    </row>
    <row r="61" spans="1:74" x14ac:dyDescent="0.25">
      <c r="A61" s="92" t="s">
        <v>232</v>
      </c>
      <c r="B61" s="69" t="s">
        <v>291</v>
      </c>
      <c r="C61" s="306" t="s">
        <v>524</v>
      </c>
      <c r="D61" s="307"/>
      <c r="E61" s="69" t="s">
        <v>177</v>
      </c>
      <c r="F61" s="77">
        <v>0.59</v>
      </c>
      <c r="G61" s="218">
        <v>0</v>
      </c>
      <c r="H61" s="77">
        <f>F61*AM61</f>
        <v>0</v>
      </c>
      <c r="I61" s="77">
        <f>F61*AN61</f>
        <v>0</v>
      </c>
      <c r="J61" s="77">
        <f>F61*G61</f>
        <v>0</v>
      </c>
      <c r="K61" s="77">
        <v>1.8907700000000001</v>
      </c>
      <c r="L61" s="77">
        <f>F61*K61</f>
        <v>1.1155542999999999</v>
      </c>
      <c r="M61" s="103" t="s">
        <v>35</v>
      </c>
      <c r="X61" s="77">
        <f>IF(AO61="5",BH61,0)</f>
        <v>0</v>
      </c>
      <c r="Z61" s="77">
        <f>IF(AO61="1",BF61,0)</f>
        <v>0</v>
      </c>
      <c r="AA61" s="77">
        <f>IF(AO61="1",BG61,0)</f>
        <v>0</v>
      </c>
      <c r="AB61" s="77">
        <f>IF(AO61="7",BF61,0)</f>
        <v>0</v>
      </c>
      <c r="AC61" s="77">
        <f>IF(AO61="7",BG61,0)</f>
        <v>0</v>
      </c>
      <c r="AD61" s="77">
        <f>IF(AO61="2",BF61,0)</f>
        <v>0</v>
      </c>
      <c r="AE61" s="77">
        <f>IF(AO61="2",BG61,0)</f>
        <v>0</v>
      </c>
      <c r="AF61" s="77">
        <f>IF(AO61="0",BH61,0)</f>
        <v>0</v>
      </c>
      <c r="AG61" s="71" t="s">
        <v>129</v>
      </c>
      <c r="AH61" s="77">
        <f>IF(AL61=0,J61,0)</f>
        <v>0</v>
      </c>
      <c r="AI61" s="77">
        <f>IF(AL61=15,J61,0)</f>
        <v>0</v>
      </c>
      <c r="AJ61" s="77">
        <f>IF(AL61=21,J61,0)</f>
        <v>0</v>
      </c>
      <c r="AL61" s="77">
        <v>15</v>
      </c>
      <c r="AM61" s="77">
        <f>G61*0.487552517</f>
        <v>0</v>
      </c>
      <c r="AN61" s="77">
        <f>G61*(1-0.487552517)</f>
        <v>0</v>
      </c>
      <c r="AO61" s="79" t="s">
        <v>132</v>
      </c>
      <c r="AT61" s="77">
        <f>AU61+AV61</f>
        <v>0</v>
      </c>
      <c r="AU61" s="77">
        <f>F61*AM61</f>
        <v>0</v>
      </c>
      <c r="AV61" s="77">
        <f>F61*AN61</f>
        <v>0</v>
      </c>
      <c r="AW61" s="79" t="s">
        <v>293</v>
      </c>
      <c r="AX61" s="79" t="s">
        <v>294</v>
      </c>
      <c r="AY61" s="71" t="s">
        <v>137</v>
      </c>
      <c r="BA61" s="77">
        <f>AU61+AV61</f>
        <v>0</v>
      </c>
      <c r="BB61" s="77">
        <f>G61/(100-BC61)*100</f>
        <v>0</v>
      </c>
      <c r="BC61" s="77">
        <v>0</v>
      </c>
      <c r="BD61" s="77">
        <f>L61</f>
        <v>1.1155542999999999</v>
      </c>
      <c r="BF61" s="77">
        <f>F61*AM61</f>
        <v>0</v>
      </c>
      <c r="BG61" s="77">
        <f>F61*AN61</f>
        <v>0</v>
      </c>
      <c r="BH61" s="77">
        <f>F61*G61</f>
        <v>0</v>
      </c>
      <c r="BI61" s="77"/>
      <c r="BJ61" s="77">
        <v>45</v>
      </c>
      <c r="BU61" s="77" t="e">
        <f>#REF!</f>
        <v>#REF!</v>
      </c>
      <c r="BV61" s="70" t="s">
        <v>524</v>
      </c>
    </row>
    <row r="62" spans="1:74" ht="67.5" customHeight="1" x14ac:dyDescent="0.25">
      <c r="A62" s="104"/>
      <c r="B62" s="81" t="s">
        <v>138</v>
      </c>
      <c r="C62" s="303" t="s">
        <v>1091</v>
      </c>
      <c r="D62" s="304"/>
      <c r="E62" s="304"/>
      <c r="F62" s="304"/>
      <c r="G62" s="304"/>
      <c r="H62" s="304"/>
      <c r="I62" s="304"/>
      <c r="J62" s="304"/>
      <c r="K62" s="304"/>
      <c r="L62" s="304"/>
      <c r="M62" s="305"/>
    </row>
    <row r="63" spans="1:74" x14ac:dyDescent="0.25">
      <c r="A63" s="105" t="s">
        <v>129</v>
      </c>
      <c r="B63" s="74" t="s">
        <v>296</v>
      </c>
      <c r="C63" s="314" t="s">
        <v>297</v>
      </c>
      <c r="D63" s="315"/>
      <c r="E63" s="75" t="s">
        <v>87</v>
      </c>
      <c r="F63" s="75" t="s">
        <v>87</v>
      </c>
      <c r="G63" s="75" t="s">
        <v>87</v>
      </c>
      <c r="H63" s="67">
        <f>SUM(H64:H68)</f>
        <v>0</v>
      </c>
      <c r="I63" s="67">
        <f>SUM(I64:I68)</f>
        <v>0</v>
      </c>
      <c r="J63" s="67">
        <f>SUM(J64:J68)</f>
        <v>0</v>
      </c>
      <c r="K63" s="71" t="s">
        <v>129</v>
      </c>
      <c r="L63" s="67">
        <f>SUM(L64:L68)</f>
        <v>3.1079699999999999</v>
      </c>
      <c r="M63" s="106" t="s">
        <v>129</v>
      </c>
      <c r="AG63" s="71" t="s">
        <v>129</v>
      </c>
      <c r="AQ63" s="67">
        <f>SUM(AH64:AH68)</f>
        <v>0</v>
      </c>
      <c r="AR63" s="67">
        <f>SUM(AI64:AI68)</f>
        <v>0</v>
      </c>
      <c r="AS63" s="67">
        <f>SUM(AJ64:AJ68)</f>
        <v>0</v>
      </c>
    </row>
    <row r="64" spans="1:74" x14ac:dyDescent="0.25">
      <c r="A64" s="92" t="s">
        <v>236</v>
      </c>
      <c r="B64" s="69" t="s">
        <v>1092</v>
      </c>
      <c r="C64" s="306" t="s">
        <v>1093</v>
      </c>
      <c r="D64" s="307"/>
      <c r="E64" s="69" t="s">
        <v>166</v>
      </c>
      <c r="F64" s="77">
        <v>2.14</v>
      </c>
      <c r="G64" s="218">
        <v>0</v>
      </c>
      <c r="H64" s="77">
        <f>F64*AM64</f>
        <v>0</v>
      </c>
      <c r="I64" s="77">
        <f>F64*AN64</f>
        <v>0</v>
      </c>
      <c r="J64" s="77">
        <f>F64*G64</f>
        <v>0</v>
      </c>
      <c r="K64" s="77">
        <v>0.55125000000000002</v>
      </c>
      <c r="L64" s="77">
        <f>F64*K64</f>
        <v>1.179675</v>
      </c>
      <c r="M64" s="103" t="s">
        <v>35</v>
      </c>
      <c r="X64" s="77">
        <f>IF(AO64="5",BH64,0)</f>
        <v>0</v>
      </c>
      <c r="Z64" s="77">
        <f>IF(AO64="1",BF64,0)</f>
        <v>0</v>
      </c>
      <c r="AA64" s="77">
        <f>IF(AO64="1",BG64,0)</f>
        <v>0</v>
      </c>
      <c r="AB64" s="77">
        <f>IF(AO64="7",BF64,0)</f>
        <v>0</v>
      </c>
      <c r="AC64" s="77">
        <f>IF(AO64="7",BG64,0)</f>
        <v>0</v>
      </c>
      <c r="AD64" s="77">
        <f>IF(AO64="2",BF64,0)</f>
        <v>0</v>
      </c>
      <c r="AE64" s="77">
        <f>IF(AO64="2",BG64,0)</f>
        <v>0</v>
      </c>
      <c r="AF64" s="77">
        <f>IF(AO64="0",BH64,0)</f>
        <v>0</v>
      </c>
      <c r="AG64" s="71" t="s">
        <v>129</v>
      </c>
      <c r="AH64" s="77">
        <f>IF(AL64=0,J64,0)</f>
        <v>0</v>
      </c>
      <c r="AI64" s="77">
        <f>IF(AL64=15,J64,0)</f>
        <v>0</v>
      </c>
      <c r="AJ64" s="77">
        <f>IF(AL64=21,J64,0)</f>
        <v>0</v>
      </c>
      <c r="AL64" s="77">
        <v>15</v>
      </c>
      <c r="AM64" s="77">
        <f>G64*0.876303605</f>
        <v>0</v>
      </c>
      <c r="AN64" s="77">
        <f>G64*(1-0.876303605)</f>
        <v>0</v>
      </c>
      <c r="AO64" s="79" t="s">
        <v>132</v>
      </c>
      <c r="AT64" s="77">
        <f>AU64+AV64</f>
        <v>0</v>
      </c>
      <c r="AU64" s="77">
        <f>F64*AM64</f>
        <v>0</v>
      </c>
      <c r="AV64" s="77">
        <f>F64*AN64</f>
        <v>0</v>
      </c>
      <c r="AW64" s="79" t="s">
        <v>301</v>
      </c>
      <c r="AX64" s="79" t="s">
        <v>302</v>
      </c>
      <c r="AY64" s="71" t="s">
        <v>137</v>
      </c>
      <c r="BA64" s="77">
        <f>AU64+AV64</f>
        <v>0</v>
      </c>
      <c r="BB64" s="77">
        <f>G64/(100-BC64)*100</f>
        <v>0</v>
      </c>
      <c r="BC64" s="77">
        <v>0</v>
      </c>
      <c r="BD64" s="77">
        <f>L64</f>
        <v>1.179675</v>
      </c>
      <c r="BF64" s="77">
        <f>F64*AM64</f>
        <v>0</v>
      </c>
      <c r="BG64" s="77">
        <f>F64*AN64</f>
        <v>0</v>
      </c>
      <c r="BH64" s="77">
        <f>F64*G64</f>
        <v>0</v>
      </c>
      <c r="BI64" s="77"/>
      <c r="BJ64" s="77">
        <v>56</v>
      </c>
      <c r="BU64" s="77" t="e">
        <f>#REF!</f>
        <v>#REF!</v>
      </c>
      <c r="BV64" s="70" t="s">
        <v>1093</v>
      </c>
    </row>
    <row r="65" spans="1:74" ht="40.5" customHeight="1" x14ac:dyDescent="0.25">
      <c r="A65" s="104"/>
      <c r="B65" s="81" t="s">
        <v>138</v>
      </c>
      <c r="C65" s="303" t="s">
        <v>1094</v>
      </c>
      <c r="D65" s="304"/>
      <c r="E65" s="304"/>
      <c r="F65" s="304"/>
      <c r="G65" s="304"/>
      <c r="H65" s="304"/>
      <c r="I65" s="304"/>
      <c r="J65" s="304"/>
      <c r="K65" s="304"/>
      <c r="L65" s="304"/>
      <c r="M65" s="305"/>
    </row>
    <row r="66" spans="1:74" x14ac:dyDescent="0.25">
      <c r="A66" s="92" t="s">
        <v>240</v>
      </c>
      <c r="B66" s="69" t="s">
        <v>305</v>
      </c>
      <c r="C66" s="306" t="s">
        <v>306</v>
      </c>
      <c r="D66" s="307"/>
      <c r="E66" s="69" t="s">
        <v>166</v>
      </c>
      <c r="F66" s="77">
        <v>2.25</v>
      </c>
      <c r="G66" s="218">
        <v>0</v>
      </c>
      <c r="H66" s="77">
        <f>F66*AM66</f>
        <v>0</v>
      </c>
      <c r="I66" s="77">
        <f>F66*AN66</f>
        <v>0</v>
      </c>
      <c r="J66" s="77">
        <f>F66*G66</f>
        <v>0</v>
      </c>
      <c r="K66" s="77">
        <v>0.48574000000000001</v>
      </c>
      <c r="L66" s="77">
        <f>F66*K66</f>
        <v>1.0929150000000001</v>
      </c>
      <c r="M66" s="103" t="s">
        <v>35</v>
      </c>
      <c r="X66" s="77">
        <f>IF(AO66="5",BH66,0)</f>
        <v>0</v>
      </c>
      <c r="Z66" s="77">
        <f>IF(AO66="1",BF66,0)</f>
        <v>0</v>
      </c>
      <c r="AA66" s="77">
        <f>IF(AO66="1",BG66,0)</f>
        <v>0</v>
      </c>
      <c r="AB66" s="77">
        <f>IF(AO66="7",BF66,0)</f>
        <v>0</v>
      </c>
      <c r="AC66" s="77">
        <f>IF(AO66="7",BG66,0)</f>
        <v>0</v>
      </c>
      <c r="AD66" s="77">
        <f>IF(AO66="2",BF66,0)</f>
        <v>0</v>
      </c>
      <c r="AE66" s="77">
        <f>IF(AO66="2",BG66,0)</f>
        <v>0</v>
      </c>
      <c r="AF66" s="77">
        <f>IF(AO66="0",BH66,0)</f>
        <v>0</v>
      </c>
      <c r="AG66" s="71" t="s">
        <v>129</v>
      </c>
      <c r="AH66" s="77">
        <f>IF(AL66=0,J66,0)</f>
        <v>0</v>
      </c>
      <c r="AI66" s="77">
        <f>IF(AL66=15,J66,0)</f>
        <v>0</v>
      </c>
      <c r="AJ66" s="77">
        <f>IF(AL66=21,J66,0)</f>
        <v>0</v>
      </c>
      <c r="AL66" s="77">
        <v>15</v>
      </c>
      <c r="AM66" s="77">
        <f>G66*0.813421729</f>
        <v>0</v>
      </c>
      <c r="AN66" s="77">
        <f>G66*(1-0.813421729)</f>
        <v>0</v>
      </c>
      <c r="AO66" s="79" t="s">
        <v>132</v>
      </c>
      <c r="AT66" s="77">
        <f>AU66+AV66</f>
        <v>0</v>
      </c>
      <c r="AU66" s="77">
        <f>F66*AM66</f>
        <v>0</v>
      </c>
      <c r="AV66" s="77">
        <f>F66*AN66</f>
        <v>0</v>
      </c>
      <c r="AW66" s="79" t="s">
        <v>301</v>
      </c>
      <c r="AX66" s="79" t="s">
        <v>302</v>
      </c>
      <c r="AY66" s="71" t="s">
        <v>137</v>
      </c>
      <c r="BA66" s="77">
        <f>AU66+AV66</f>
        <v>0</v>
      </c>
      <c r="BB66" s="77">
        <f>G66/(100-BC66)*100</f>
        <v>0</v>
      </c>
      <c r="BC66" s="77">
        <v>0</v>
      </c>
      <c r="BD66" s="77">
        <f>L66</f>
        <v>1.0929150000000001</v>
      </c>
      <c r="BF66" s="77">
        <f>F66*AM66</f>
        <v>0</v>
      </c>
      <c r="BG66" s="77">
        <f>F66*AN66</f>
        <v>0</v>
      </c>
      <c r="BH66" s="77">
        <f>F66*G66</f>
        <v>0</v>
      </c>
      <c r="BI66" s="77"/>
      <c r="BJ66" s="77">
        <v>56</v>
      </c>
      <c r="BU66" s="77" t="e">
        <f>#REF!</f>
        <v>#REF!</v>
      </c>
      <c r="BV66" s="70" t="s">
        <v>306</v>
      </c>
    </row>
    <row r="67" spans="1:74" ht="40.5" customHeight="1" x14ac:dyDescent="0.25">
      <c r="A67" s="104"/>
      <c r="B67" s="81" t="s">
        <v>138</v>
      </c>
      <c r="C67" s="303" t="s">
        <v>1095</v>
      </c>
      <c r="D67" s="304"/>
      <c r="E67" s="304"/>
      <c r="F67" s="304"/>
      <c r="G67" s="304"/>
      <c r="H67" s="304"/>
      <c r="I67" s="304"/>
      <c r="J67" s="304"/>
      <c r="K67" s="304"/>
      <c r="L67" s="304"/>
      <c r="M67" s="305"/>
    </row>
    <row r="68" spans="1:74" x14ac:dyDescent="0.25">
      <c r="A68" s="92" t="s">
        <v>245</v>
      </c>
      <c r="B68" s="69" t="s">
        <v>311</v>
      </c>
      <c r="C68" s="306" t="s">
        <v>312</v>
      </c>
      <c r="D68" s="307"/>
      <c r="E68" s="69" t="s">
        <v>166</v>
      </c>
      <c r="F68" s="77">
        <v>2.21</v>
      </c>
      <c r="G68" s="218">
        <v>0</v>
      </c>
      <c r="H68" s="77">
        <f>F68*AM68</f>
        <v>0</v>
      </c>
      <c r="I68" s="77">
        <f>F68*AN68</f>
        <v>0</v>
      </c>
      <c r="J68" s="77">
        <f>F68*G68</f>
        <v>0</v>
      </c>
      <c r="K68" s="77">
        <v>0.378</v>
      </c>
      <c r="L68" s="77">
        <f>F68*K68</f>
        <v>0.83538000000000001</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G68*0.826897886</f>
        <v>0</v>
      </c>
      <c r="AN68" s="77">
        <f>G68*(1-0.826897886)</f>
        <v>0</v>
      </c>
      <c r="AO68" s="79" t="s">
        <v>132</v>
      </c>
      <c r="AT68" s="77">
        <f>AU68+AV68</f>
        <v>0</v>
      </c>
      <c r="AU68" s="77">
        <f>F68*AM68</f>
        <v>0</v>
      </c>
      <c r="AV68" s="77">
        <f>F68*AN68</f>
        <v>0</v>
      </c>
      <c r="AW68" s="79" t="s">
        <v>301</v>
      </c>
      <c r="AX68" s="79" t="s">
        <v>302</v>
      </c>
      <c r="AY68" s="71" t="s">
        <v>137</v>
      </c>
      <c r="BA68" s="77">
        <f>AU68+AV68</f>
        <v>0</v>
      </c>
      <c r="BB68" s="77">
        <f>G68/(100-BC68)*100</f>
        <v>0</v>
      </c>
      <c r="BC68" s="77">
        <v>0</v>
      </c>
      <c r="BD68" s="77">
        <f>L68</f>
        <v>0.83538000000000001</v>
      </c>
      <c r="BF68" s="77">
        <f>F68*AM68</f>
        <v>0</v>
      </c>
      <c r="BG68" s="77">
        <f>F68*AN68</f>
        <v>0</v>
      </c>
      <c r="BH68" s="77">
        <f>F68*G68</f>
        <v>0</v>
      </c>
      <c r="BI68" s="77"/>
      <c r="BJ68" s="77">
        <v>56</v>
      </c>
      <c r="BU68" s="77" t="e">
        <f>#REF!</f>
        <v>#REF!</v>
      </c>
      <c r="BV68" s="70" t="s">
        <v>312</v>
      </c>
    </row>
    <row r="69" spans="1:74" ht="40.5" customHeight="1" x14ac:dyDescent="0.25">
      <c r="A69" s="104"/>
      <c r="B69" s="81" t="s">
        <v>138</v>
      </c>
      <c r="C69" s="303" t="s">
        <v>1096</v>
      </c>
      <c r="D69" s="304"/>
      <c r="E69" s="304"/>
      <c r="F69" s="304"/>
      <c r="G69" s="304"/>
      <c r="H69" s="304"/>
      <c r="I69" s="304"/>
      <c r="J69" s="304"/>
      <c r="K69" s="304"/>
      <c r="L69" s="304"/>
      <c r="M69" s="305"/>
    </row>
    <row r="70" spans="1:74" x14ac:dyDescent="0.25">
      <c r="A70" s="105" t="s">
        <v>129</v>
      </c>
      <c r="B70" s="74" t="s">
        <v>1097</v>
      </c>
      <c r="C70" s="314" t="s">
        <v>1098</v>
      </c>
      <c r="D70" s="315"/>
      <c r="E70" s="75" t="s">
        <v>87</v>
      </c>
      <c r="F70" s="75" t="s">
        <v>87</v>
      </c>
      <c r="G70" s="75" t="s">
        <v>87</v>
      </c>
      <c r="H70" s="67">
        <f>SUM(H71:H71)</f>
        <v>0</v>
      </c>
      <c r="I70" s="67">
        <f>SUM(I71:I71)</f>
        <v>0</v>
      </c>
      <c r="J70" s="67">
        <f>SUM(J71:J71)</f>
        <v>0</v>
      </c>
      <c r="K70" s="71" t="s">
        <v>129</v>
      </c>
      <c r="L70" s="67">
        <f>SUM(L71:L71)</f>
        <v>1.371E-2</v>
      </c>
      <c r="M70" s="106" t="s">
        <v>129</v>
      </c>
      <c r="AG70" s="71" t="s">
        <v>129</v>
      </c>
      <c r="AQ70" s="67">
        <f>SUM(AH71:AH71)</f>
        <v>0</v>
      </c>
      <c r="AR70" s="67">
        <f>SUM(AI71:AI71)</f>
        <v>0</v>
      </c>
      <c r="AS70" s="67">
        <f>SUM(AJ71:AJ71)</f>
        <v>0</v>
      </c>
    </row>
    <row r="71" spans="1:74" x14ac:dyDescent="0.25">
      <c r="A71" s="92" t="s">
        <v>250</v>
      </c>
      <c r="B71" s="69" t="s">
        <v>1099</v>
      </c>
      <c r="C71" s="306" t="s">
        <v>1100</v>
      </c>
      <c r="D71" s="307"/>
      <c r="E71" s="69" t="s">
        <v>950</v>
      </c>
      <c r="F71" s="77">
        <v>1</v>
      </c>
      <c r="G71" s="218">
        <v>0</v>
      </c>
      <c r="H71" s="77">
        <f>F71*AM71</f>
        <v>0</v>
      </c>
      <c r="I71" s="77">
        <f>F71*AN71</f>
        <v>0</v>
      </c>
      <c r="J71" s="77">
        <f>F71*G71</f>
        <v>0</v>
      </c>
      <c r="K71" s="77">
        <v>1.371E-2</v>
      </c>
      <c r="L71" s="77">
        <f>F71*K71</f>
        <v>1.371E-2</v>
      </c>
      <c r="M71" s="103" t="s">
        <v>35</v>
      </c>
      <c r="X71" s="77">
        <f>IF(AO71="5",BH71,0)</f>
        <v>0</v>
      </c>
      <c r="Z71" s="77">
        <f>IF(AO71="1",BF71,0)</f>
        <v>0</v>
      </c>
      <c r="AA71" s="77">
        <f>IF(AO71="1",BG71,0)</f>
        <v>0</v>
      </c>
      <c r="AB71" s="77">
        <f>IF(AO71="7",BF71,0)</f>
        <v>0</v>
      </c>
      <c r="AC71" s="77">
        <f>IF(AO71="7",BG71,0)</f>
        <v>0</v>
      </c>
      <c r="AD71" s="77">
        <f>IF(AO71="2",BF71,0)</f>
        <v>0</v>
      </c>
      <c r="AE71" s="77">
        <f>IF(AO71="2",BG71,0)</f>
        <v>0</v>
      </c>
      <c r="AF71" s="77">
        <f>IF(AO71="0",BH71,0)</f>
        <v>0</v>
      </c>
      <c r="AG71" s="71" t="s">
        <v>129</v>
      </c>
      <c r="AH71" s="77">
        <f>IF(AL71=0,J71,0)</f>
        <v>0</v>
      </c>
      <c r="AI71" s="77">
        <f>IF(AL71=15,J71,0)</f>
        <v>0</v>
      </c>
      <c r="AJ71" s="77">
        <f>IF(AL71=21,J71,0)</f>
        <v>0</v>
      </c>
      <c r="AL71" s="77">
        <v>15</v>
      </c>
      <c r="AM71" s="77">
        <f>G71*0.450863732</f>
        <v>0</v>
      </c>
      <c r="AN71" s="77">
        <f>G71*(1-0.450863732)</f>
        <v>0</v>
      </c>
      <c r="AO71" s="79" t="s">
        <v>168</v>
      </c>
      <c r="AT71" s="77">
        <f>AU71+AV71</f>
        <v>0</v>
      </c>
      <c r="AU71" s="77">
        <f>F71*AM71</f>
        <v>0</v>
      </c>
      <c r="AV71" s="77">
        <f>F71*AN71</f>
        <v>0</v>
      </c>
      <c r="AW71" s="79" t="s">
        <v>1101</v>
      </c>
      <c r="AX71" s="79" t="s">
        <v>1102</v>
      </c>
      <c r="AY71" s="71" t="s">
        <v>137</v>
      </c>
      <c r="BA71" s="77">
        <f>AU71+AV71</f>
        <v>0</v>
      </c>
      <c r="BB71" s="77">
        <f>G71/(100-BC71)*100</f>
        <v>0</v>
      </c>
      <c r="BC71" s="77">
        <v>0</v>
      </c>
      <c r="BD71" s="77">
        <f>L71</f>
        <v>1.371E-2</v>
      </c>
      <c r="BF71" s="77">
        <f>F71*AM71</f>
        <v>0</v>
      </c>
      <c r="BG71" s="77">
        <f>F71*AN71</f>
        <v>0</v>
      </c>
      <c r="BH71" s="77">
        <f>F71*G71</f>
        <v>0</v>
      </c>
      <c r="BI71" s="77"/>
      <c r="BJ71" s="77">
        <v>722</v>
      </c>
      <c r="BU71" s="77" t="e">
        <f>#REF!</f>
        <v>#REF!</v>
      </c>
      <c r="BV71" s="70" t="s">
        <v>1100</v>
      </c>
    </row>
    <row r="72" spans="1:74" ht="40.5" customHeight="1" x14ac:dyDescent="0.25">
      <c r="A72" s="104"/>
      <c r="B72" s="81" t="s">
        <v>138</v>
      </c>
      <c r="C72" s="303" t="s">
        <v>1103</v>
      </c>
      <c r="D72" s="304"/>
      <c r="E72" s="304"/>
      <c r="F72" s="304"/>
      <c r="G72" s="304"/>
      <c r="H72" s="304"/>
      <c r="I72" s="304"/>
      <c r="J72" s="304"/>
      <c r="K72" s="304"/>
      <c r="L72" s="304"/>
      <c r="M72" s="305"/>
    </row>
    <row r="73" spans="1:74" x14ac:dyDescent="0.25">
      <c r="A73" s="105" t="s">
        <v>129</v>
      </c>
      <c r="B73" s="74" t="s">
        <v>651</v>
      </c>
      <c r="C73" s="314" t="s">
        <v>935</v>
      </c>
      <c r="D73" s="315"/>
      <c r="E73" s="75" t="s">
        <v>87</v>
      </c>
      <c r="F73" s="75" t="s">
        <v>87</v>
      </c>
      <c r="G73" s="75" t="s">
        <v>87</v>
      </c>
      <c r="H73" s="67">
        <f>SUM(H74:H74)</f>
        <v>0</v>
      </c>
      <c r="I73" s="67">
        <f>SUM(I74:I74)</f>
        <v>0</v>
      </c>
      <c r="J73" s="67">
        <f>SUM(J74:J74)</f>
        <v>0</v>
      </c>
      <c r="K73" s="71" t="s">
        <v>129</v>
      </c>
      <c r="L73" s="67">
        <f>SUM(L74:L74)</f>
        <v>0.97487999999999997</v>
      </c>
      <c r="M73" s="106" t="s">
        <v>129</v>
      </c>
      <c r="AG73" s="71" t="s">
        <v>129</v>
      </c>
      <c r="AQ73" s="67">
        <f>SUM(AH74:AH74)</f>
        <v>0</v>
      </c>
      <c r="AR73" s="67">
        <f>SUM(AI74:AI74)</f>
        <v>0</v>
      </c>
      <c r="AS73" s="67">
        <f>SUM(AJ74:AJ74)</f>
        <v>0</v>
      </c>
    </row>
    <row r="74" spans="1:74" x14ac:dyDescent="0.25">
      <c r="A74" s="92" t="s">
        <v>253</v>
      </c>
      <c r="B74" s="69" t="s">
        <v>1104</v>
      </c>
      <c r="C74" s="306" t="s">
        <v>1105</v>
      </c>
      <c r="D74" s="307"/>
      <c r="E74" s="69" t="s">
        <v>145</v>
      </c>
      <c r="F74" s="77">
        <v>4.5</v>
      </c>
      <c r="G74" s="218">
        <v>0</v>
      </c>
      <c r="H74" s="77">
        <f>F74*AM74</f>
        <v>0</v>
      </c>
      <c r="I74" s="77">
        <f>F74*AN74</f>
        <v>0</v>
      </c>
      <c r="J74" s="77">
        <f>F74*G74</f>
        <v>0</v>
      </c>
      <c r="K74" s="77">
        <v>0.21664</v>
      </c>
      <c r="L74" s="77">
        <f>F74*K74</f>
        <v>0.97487999999999997</v>
      </c>
      <c r="M74" s="103" t="s">
        <v>35</v>
      </c>
      <c r="X74" s="77">
        <f>IF(AO74="5",BH74,0)</f>
        <v>0</v>
      </c>
      <c r="Z74" s="77">
        <f>IF(AO74="1",BF74,0)</f>
        <v>0</v>
      </c>
      <c r="AA74" s="77">
        <f>IF(AO74="1",BG74,0)</f>
        <v>0</v>
      </c>
      <c r="AB74" s="77">
        <f>IF(AO74="7",BF74,0)</f>
        <v>0</v>
      </c>
      <c r="AC74" s="77">
        <f>IF(AO74="7",BG74,0)</f>
        <v>0</v>
      </c>
      <c r="AD74" s="77">
        <f>IF(AO74="2",BF74,0)</f>
        <v>0</v>
      </c>
      <c r="AE74" s="77">
        <f>IF(AO74="2",BG74,0)</f>
        <v>0</v>
      </c>
      <c r="AF74" s="77">
        <f>IF(AO74="0",BH74,0)</f>
        <v>0</v>
      </c>
      <c r="AG74" s="71" t="s">
        <v>129</v>
      </c>
      <c r="AH74" s="77">
        <f>IF(AL74=0,J74,0)</f>
        <v>0</v>
      </c>
      <c r="AI74" s="77">
        <f>IF(AL74=15,J74,0)</f>
        <v>0</v>
      </c>
      <c r="AJ74" s="77">
        <f>IF(AL74=21,J74,0)</f>
        <v>0</v>
      </c>
      <c r="AL74" s="77">
        <v>15</v>
      </c>
      <c r="AM74" s="77">
        <f>G74*0.42734529</f>
        <v>0</v>
      </c>
      <c r="AN74" s="77">
        <f>G74*(1-0.42734529)</f>
        <v>0</v>
      </c>
      <c r="AO74" s="79" t="s">
        <v>132</v>
      </c>
      <c r="AT74" s="77">
        <f>AU74+AV74</f>
        <v>0</v>
      </c>
      <c r="AU74" s="77">
        <f>F74*AM74</f>
        <v>0</v>
      </c>
      <c r="AV74" s="77">
        <f>F74*AN74</f>
        <v>0</v>
      </c>
      <c r="AW74" s="79" t="s">
        <v>938</v>
      </c>
      <c r="AX74" s="79" t="s">
        <v>320</v>
      </c>
      <c r="AY74" s="71" t="s">
        <v>137</v>
      </c>
      <c r="BA74" s="77">
        <f>AU74+AV74</f>
        <v>0</v>
      </c>
      <c r="BB74" s="77">
        <f>G74/(100-BC74)*100</f>
        <v>0</v>
      </c>
      <c r="BC74" s="77">
        <v>0</v>
      </c>
      <c r="BD74" s="77">
        <f>L74</f>
        <v>0.97487999999999997</v>
      </c>
      <c r="BF74" s="77">
        <f>F74*AM74</f>
        <v>0</v>
      </c>
      <c r="BG74" s="77">
        <f>F74*AN74</f>
        <v>0</v>
      </c>
      <c r="BH74" s="77">
        <f>F74*G74</f>
        <v>0</v>
      </c>
      <c r="BI74" s="77"/>
      <c r="BJ74" s="77">
        <v>83</v>
      </c>
      <c r="BU74" s="77" t="e">
        <f>#REF!</f>
        <v>#REF!</v>
      </c>
      <c r="BV74" s="70" t="s">
        <v>1105</v>
      </c>
    </row>
    <row r="75" spans="1:74" ht="121.5" customHeight="1" x14ac:dyDescent="0.25">
      <c r="A75" s="104"/>
      <c r="B75" s="81" t="s">
        <v>138</v>
      </c>
      <c r="C75" s="303" t="s">
        <v>1106</v>
      </c>
      <c r="D75" s="304"/>
      <c r="E75" s="304"/>
      <c r="F75" s="304"/>
      <c r="G75" s="304"/>
      <c r="H75" s="304"/>
      <c r="I75" s="304"/>
      <c r="J75" s="304"/>
      <c r="K75" s="304"/>
      <c r="L75" s="304"/>
      <c r="M75" s="305"/>
    </row>
    <row r="76" spans="1:74" x14ac:dyDescent="0.25">
      <c r="A76" s="105" t="s">
        <v>129</v>
      </c>
      <c r="B76" s="74" t="s">
        <v>335</v>
      </c>
      <c r="C76" s="314" t="s">
        <v>336</v>
      </c>
      <c r="D76" s="315"/>
      <c r="E76" s="75" t="s">
        <v>87</v>
      </c>
      <c r="F76" s="75" t="s">
        <v>87</v>
      </c>
      <c r="G76" s="75" t="s">
        <v>87</v>
      </c>
      <c r="H76" s="67">
        <f>SUM(H77:H79)</f>
        <v>0</v>
      </c>
      <c r="I76" s="67">
        <f>SUM(I77:I79)</f>
        <v>0</v>
      </c>
      <c r="J76" s="67">
        <f>SUM(J77:J79)</f>
        <v>0</v>
      </c>
      <c r="K76" s="71" t="s">
        <v>129</v>
      </c>
      <c r="L76" s="67">
        <f>SUM(L77:L79)</f>
        <v>4.1360000000000002E-4</v>
      </c>
      <c r="M76" s="106" t="s">
        <v>129</v>
      </c>
      <c r="AG76" s="71" t="s">
        <v>129</v>
      </c>
      <c r="AQ76" s="67">
        <f>SUM(AH77:AH79)</f>
        <v>0</v>
      </c>
      <c r="AR76" s="67">
        <f>SUM(AI77:AI79)</f>
        <v>0</v>
      </c>
      <c r="AS76" s="67">
        <f>SUM(AJ77:AJ79)</f>
        <v>0</v>
      </c>
    </row>
    <row r="77" spans="1:74" x14ac:dyDescent="0.25">
      <c r="A77" s="92" t="s">
        <v>258</v>
      </c>
      <c r="B77" s="69" t="s">
        <v>375</v>
      </c>
      <c r="C77" s="306" t="s">
        <v>376</v>
      </c>
      <c r="D77" s="307"/>
      <c r="E77" s="69" t="s">
        <v>145</v>
      </c>
      <c r="F77" s="77">
        <v>4.95</v>
      </c>
      <c r="G77" s="218">
        <v>0</v>
      </c>
      <c r="H77" s="77">
        <f>F77*AM77</f>
        <v>0</v>
      </c>
      <c r="I77" s="77">
        <f>F77*AN77</f>
        <v>0</v>
      </c>
      <c r="J77" s="77">
        <f>F77*G77</f>
        <v>0</v>
      </c>
      <c r="K77" s="77">
        <v>0</v>
      </c>
      <c r="L77" s="77">
        <f>F77*K77</f>
        <v>0</v>
      </c>
      <c r="M77" s="103" t="s">
        <v>35</v>
      </c>
      <c r="X77" s="77">
        <f>IF(AO77="5",BH77,0)</f>
        <v>0</v>
      </c>
      <c r="Z77" s="77">
        <f>IF(AO77="1",BF77,0)</f>
        <v>0</v>
      </c>
      <c r="AA77" s="77">
        <f>IF(AO77="1",BG77,0)</f>
        <v>0</v>
      </c>
      <c r="AB77" s="77">
        <f>IF(AO77="7",BF77,0)</f>
        <v>0</v>
      </c>
      <c r="AC77" s="77">
        <f>IF(AO77="7",BG77,0)</f>
        <v>0</v>
      </c>
      <c r="AD77" s="77">
        <f>IF(AO77="2",BF77,0)</f>
        <v>0</v>
      </c>
      <c r="AE77" s="77">
        <f>IF(AO77="2",BG77,0)</f>
        <v>0</v>
      </c>
      <c r="AF77" s="77">
        <f>IF(AO77="0",BH77,0)</f>
        <v>0</v>
      </c>
      <c r="AG77" s="71" t="s">
        <v>129</v>
      </c>
      <c r="AH77" s="77">
        <f>IF(AL77=0,J77,0)</f>
        <v>0</v>
      </c>
      <c r="AI77" s="77">
        <f>IF(AL77=15,J77,0)</f>
        <v>0</v>
      </c>
      <c r="AJ77" s="77">
        <f>IF(AL77=21,J77,0)</f>
        <v>0</v>
      </c>
      <c r="AL77" s="77">
        <v>15</v>
      </c>
      <c r="AM77" s="77">
        <f>G77*0.352708102</f>
        <v>0</v>
      </c>
      <c r="AN77" s="77">
        <f>G77*(1-0.352708102)</f>
        <v>0</v>
      </c>
      <c r="AO77" s="79" t="s">
        <v>132</v>
      </c>
      <c r="AT77" s="77">
        <f>AU77+AV77</f>
        <v>0</v>
      </c>
      <c r="AU77" s="77">
        <f>F77*AM77</f>
        <v>0</v>
      </c>
      <c r="AV77" s="77">
        <f>F77*AN77</f>
        <v>0</v>
      </c>
      <c r="AW77" s="79" t="s">
        <v>340</v>
      </c>
      <c r="AX77" s="79" t="s">
        <v>320</v>
      </c>
      <c r="AY77" s="71" t="s">
        <v>137</v>
      </c>
      <c r="BA77" s="77">
        <f>AU77+AV77</f>
        <v>0</v>
      </c>
      <c r="BB77" s="77">
        <f>G77/(100-BC77)*100</f>
        <v>0</v>
      </c>
      <c r="BC77" s="77">
        <v>0</v>
      </c>
      <c r="BD77" s="77">
        <f>L77</f>
        <v>0</v>
      </c>
      <c r="BF77" s="77">
        <f>F77*AM77</f>
        <v>0</v>
      </c>
      <c r="BG77" s="77">
        <f>F77*AN77</f>
        <v>0</v>
      </c>
      <c r="BH77" s="77">
        <f>F77*G77</f>
        <v>0</v>
      </c>
      <c r="BI77" s="77"/>
      <c r="BJ77" s="77">
        <v>89</v>
      </c>
      <c r="BU77" s="77" t="e">
        <f>#REF!</f>
        <v>#REF!</v>
      </c>
      <c r="BV77" s="70" t="s">
        <v>376</v>
      </c>
    </row>
    <row r="78" spans="1:74" ht="40.5" customHeight="1" thickBot="1" x14ac:dyDescent="0.3">
      <c r="A78" s="107"/>
      <c r="B78" s="108" t="s">
        <v>138</v>
      </c>
      <c r="C78" s="308" t="s">
        <v>1107</v>
      </c>
      <c r="D78" s="309"/>
      <c r="E78" s="309"/>
      <c r="F78" s="309"/>
      <c r="G78" s="309"/>
      <c r="H78" s="309"/>
      <c r="I78" s="309"/>
      <c r="J78" s="309"/>
      <c r="K78" s="309"/>
      <c r="L78" s="309"/>
      <c r="M78" s="310"/>
    </row>
    <row r="79" spans="1:74" x14ac:dyDescent="0.25">
      <c r="A79" s="122" t="s">
        <v>263</v>
      </c>
      <c r="B79" s="109" t="s">
        <v>1108</v>
      </c>
      <c r="C79" s="312" t="s">
        <v>1109</v>
      </c>
      <c r="D79" s="313"/>
      <c r="E79" s="109" t="s">
        <v>145</v>
      </c>
      <c r="F79" s="123">
        <v>5.17</v>
      </c>
      <c r="G79" s="219">
        <v>0</v>
      </c>
      <c r="H79" s="123">
        <f>F79*AM79</f>
        <v>0</v>
      </c>
      <c r="I79" s="123">
        <f>F79*AN79</f>
        <v>0</v>
      </c>
      <c r="J79" s="123">
        <f>F79*G79</f>
        <v>0</v>
      </c>
      <c r="K79" s="123">
        <v>8.0000000000000007E-5</v>
      </c>
      <c r="L79" s="123">
        <f>F79*K79</f>
        <v>4.1360000000000002E-4</v>
      </c>
      <c r="M79" s="124" t="s">
        <v>35</v>
      </c>
      <c r="X79" s="77">
        <f>IF(AO79="5",BH79,0)</f>
        <v>0</v>
      </c>
      <c r="Z79" s="77">
        <f>IF(AO79="1",BF79,0)</f>
        <v>0</v>
      </c>
      <c r="AA79" s="77">
        <f>IF(AO79="1",BG79,0)</f>
        <v>0</v>
      </c>
      <c r="AB79" s="77">
        <f>IF(AO79="7",BF79,0)</f>
        <v>0</v>
      </c>
      <c r="AC79" s="77">
        <f>IF(AO79="7",BG79,0)</f>
        <v>0</v>
      </c>
      <c r="AD79" s="77">
        <f>IF(AO79="2",BF79,0)</f>
        <v>0</v>
      </c>
      <c r="AE79" s="77">
        <f>IF(AO79="2",BG79,0)</f>
        <v>0</v>
      </c>
      <c r="AF79" s="77">
        <f>IF(AO79="0",BH79,0)</f>
        <v>0</v>
      </c>
      <c r="AG79" s="71" t="s">
        <v>129</v>
      </c>
      <c r="AH79" s="77">
        <f>IF(AL79=0,J79,0)</f>
        <v>0</v>
      </c>
      <c r="AI79" s="77">
        <f>IF(AL79=15,J79,0)</f>
        <v>0</v>
      </c>
      <c r="AJ79" s="77">
        <f>IF(AL79=21,J79,0)</f>
        <v>0</v>
      </c>
      <c r="AL79" s="77">
        <v>15</v>
      </c>
      <c r="AM79" s="77">
        <f>G79*0.585556942</f>
        <v>0</v>
      </c>
      <c r="AN79" s="77">
        <f>G79*(1-0.585556942)</f>
        <v>0</v>
      </c>
      <c r="AO79" s="79" t="s">
        <v>132</v>
      </c>
      <c r="AT79" s="77">
        <f>AU79+AV79</f>
        <v>0</v>
      </c>
      <c r="AU79" s="77">
        <f>F79*AM79</f>
        <v>0</v>
      </c>
      <c r="AV79" s="77">
        <f>F79*AN79</f>
        <v>0</v>
      </c>
      <c r="AW79" s="79" t="s">
        <v>340</v>
      </c>
      <c r="AX79" s="79" t="s">
        <v>320</v>
      </c>
      <c r="AY79" s="71" t="s">
        <v>137</v>
      </c>
      <c r="BA79" s="77">
        <f>AU79+AV79</f>
        <v>0</v>
      </c>
      <c r="BB79" s="77">
        <f>G79/(100-BC79)*100</f>
        <v>0</v>
      </c>
      <c r="BC79" s="77">
        <v>0</v>
      </c>
      <c r="BD79" s="77">
        <f>L79</f>
        <v>4.1360000000000002E-4</v>
      </c>
      <c r="BF79" s="77">
        <f>F79*AM79</f>
        <v>0</v>
      </c>
      <c r="BG79" s="77">
        <f>F79*AN79</f>
        <v>0</v>
      </c>
      <c r="BH79" s="77">
        <f>F79*G79</f>
        <v>0</v>
      </c>
      <c r="BI79" s="77"/>
      <c r="BJ79" s="77">
        <v>89</v>
      </c>
      <c r="BU79" s="77" t="e">
        <f>#REF!</f>
        <v>#REF!</v>
      </c>
      <c r="BV79" s="70" t="s">
        <v>1109</v>
      </c>
    </row>
    <row r="80" spans="1:74" ht="40.5" customHeight="1" x14ac:dyDescent="0.25">
      <c r="A80" s="104"/>
      <c r="B80" s="81" t="s">
        <v>138</v>
      </c>
      <c r="C80" s="303" t="s">
        <v>1110</v>
      </c>
      <c r="D80" s="304"/>
      <c r="E80" s="304"/>
      <c r="F80" s="304"/>
      <c r="G80" s="304"/>
      <c r="H80" s="304"/>
      <c r="I80" s="304"/>
      <c r="J80" s="304"/>
      <c r="K80" s="304"/>
      <c r="L80" s="304"/>
      <c r="M80" s="305"/>
    </row>
    <row r="81" spans="1:74" x14ac:dyDescent="0.25">
      <c r="A81" s="105" t="s">
        <v>129</v>
      </c>
      <c r="B81" s="74" t="s">
        <v>378</v>
      </c>
      <c r="C81" s="314" t="s">
        <v>379</v>
      </c>
      <c r="D81" s="315"/>
      <c r="E81" s="75" t="s">
        <v>87</v>
      </c>
      <c r="F81" s="75" t="s">
        <v>87</v>
      </c>
      <c r="G81" s="75" t="s">
        <v>87</v>
      </c>
      <c r="H81" s="67">
        <f>SUM(H82:H82)</f>
        <v>0</v>
      </c>
      <c r="I81" s="67">
        <f>SUM(I82:I82)</f>
        <v>0</v>
      </c>
      <c r="J81" s="67">
        <f>SUM(J82:J82)</f>
        <v>0</v>
      </c>
      <c r="K81" s="71" t="s">
        <v>129</v>
      </c>
      <c r="L81" s="67">
        <f>SUM(L82:L82)</f>
        <v>0</v>
      </c>
      <c r="M81" s="106" t="s">
        <v>129</v>
      </c>
      <c r="AG81" s="71" t="s">
        <v>129</v>
      </c>
      <c r="AQ81" s="67">
        <f>SUM(AH82:AH82)</f>
        <v>0</v>
      </c>
      <c r="AR81" s="67">
        <f>SUM(AI82:AI82)</f>
        <v>0</v>
      </c>
      <c r="AS81" s="67">
        <f>SUM(AJ82:AJ82)</f>
        <v>0</v>
      </c>
    </row>
    <row r="82" spans="1:74" x14ac:dyDescent="0.25">
      <c r="A82" s="92" t="s">
        <v>268</v>
      </c>
      <c r="B82" s="69" t="s">
        <v>381</v>
      </c>
      <c r="C82" s="306" t="s">
        <v>382</v>
      </c>
      <c r="D82" s="307"/>
      <c r="E82" s="69" t="s">
        <v>281</v>
      </c>
      <c r="F82" s="77">
        <v>3.31</v>
      </c>
      <c r="G82" s="218">
        <v>0</v>
      </c>
      <c r="H82" s="77">
        <f>F82*AM82</f>
        <v>0</v>
      </c>
      <c r="I82" s="77">
        <f>F82*AN82</f>
        <v>0</v>
      </c>
      <c r="J82" s="77">
        <f>F82*G82</f>
        <v>0</v>
      </c>
      <c r="K82" s="77">
        <v>0</v>
      </c>
      <c r="L82" s="77">
        <f>F82*K82</f>
        <v>0</v>
      </c>
      <c r="M82" s="103" t="s">
        <v>35</v>
      </c>
      <c r="X82" s="77">
        <f>IF(AO82="5",BH82,0)</f>
        <v>0</v>
      </c>
      <c r="Z82" s="77">
        <f>IF(AO82="1",BF82,0)</f>
        <v>0</v>
      </c>
      <c r="AA82" s="77">
        <f>IF(AO82="1",BG82,0)</f>
        <v>0</v>
      </c>
      <c r="AB82" s="77">
        <f>IF(AO82="7",BF82,0)</f>
        <v>0</v>
      </c>
      <c r="AC82" s="77">
        <f>IF(AO82="7",BG82,0)</f>
        <v>0</v>
      </c>
      <c r="AD82" s="77">
        <f>IF(AO82="2",BF82,0)</f>
        <v>0</v>
      </c>
      <c r="AE82" s="77">
        <f>IF(AO82="2",BG82,0)</f>
        <v>0</v>
      </c>
      <c r="AF82" s="77">
        <f>IF(AO82="0",BH82,0)</f>
        <v>0</v>
      </c>
      <c r="AG82" s="71" t="s">
        <v>129</v>
      </c>
      <c r="AH82" s="77">
        <f>IF(AL82=0,J82,0)</f>
        <v>0</v>
      </c>
      <c r="AI82" s="77">
        <f>IF(AL82=15,J82,0)</f>
        <v>0</v>
      </c>
      <c r="AJ82" s="77">
        <f>IF(AL82=21,J82,0)</f>
        <v>0</v>
      </c>
      <c r="AL82" s="77">
        <v>15</v>
      </c>
      <c r="AM82" s="77">
        <f>G82*0</f>
        <v>0</v>
      </c>
      <c r="AN82" s="77">
        <f>G82*(1-0)</f>
        <v>0</v>
      </c>
      <c r="AO82" s="79" t="s">
        <v>132</v>
      </c>
      <c r="AT82" s="77">
        <f>AU82+AV82</f>
        <v>0</v>
      </c>
      <c r="AU82" s="77">
        <f>F82*AM82</f>
        <v>0</v>
      </c>
      <c r="AV82" s="77">
        <f>F82*AN82</f>
        <v>0</v>
      </c>
      <c r="AW82" s="79" t="s">
        <v>383</v>
      </c>
      <c r="AX82" s="79" t="s">
        <v>384</v>
      </c>
      <c r="AY82" s="71" t="s">
        <v>137</v>
      </c>
      <c r="BA82" s="77">
        <f>AU82+AV82</f>
        <v>0</v>
      </c>
      <c r="BB82" s="77">
        <f>G82/(100-BC82)*100</f>
        <v>0</v>
      </c>
      <c r="BC82" s="77">
        <v>0</v>
      </c>
      <c r="BD82" s="77">
        <f>L82</f>
        <v>0</v>
      </c>
      <c r="BF82" s="77">
        <f>F82*AM82</f>
        <v>0</v>
      </c>
      <c r="BG82" s="77">
        <f>F82*AN82</f>
        <v>0</v>
      </c>
      <c r="BH82" s="77">
        <f>F82*G82</f>
        <v>0</v>
      </c>
      <c r="BI82" s="77"/>
      <c r="BJ82" s="77">
        <v>97</v>
      </c>
      <c r="BU82" s="77" t="e">
        <f>#REF!</f>
        <v>#REF!</v>
      </c>
      <c r="BV82" s="70" t="s">
        <v>382</v>
      </c>
    </row>
    <row r="83" spans="1:74" ht="27" customHeight="1" x14ac:dyDescent="0.25">
      <c r="A83" s="104"/>
      <c r="B83" s="81" t="s">
        <v>138</v>
      </c>
      <c r="C83" s="303" t="s">
        <v>1111</v>
      </c>
      <c r="D83" s="304"/>
      <c r="E83" s="304"/>
      <c r="F83" s="304"/>
      <c r="G83" s="304"/>
      <c r="H83" s="304"/>
      <c r="I83" s="304"/>
      <c r="J83" s="304"/>
      <c r="K83" s="304"/>
      <c r="L83" s="304"/>
      <c r="M83" s="305"/>
    </row>
    <row r="84" spans="1:74" x14ac:dyDescent="0.25">
      <c r="A84" s="105" t="s">
        <v>129</v>
      </c>
      <c r="B84" s="74" t="s">
        <v>386</v>
      </c>
      <c r="C84" s="314" t="s">
        <v>387</v>
      </c>
      <c r="D84" s="315"/>
      <c r="E84" s="75" t="s">
        <v>87</v>
      </c>
      <c r="F84" s="75" t="s">
        <v>87</v>
      </c>
      <c r="G84" s="75" t="s">
        <v>87</v>
      </c>
      <c r="H84" s="67">
        <f>SUM(H85:H90)</f>
        <v>0</v>
      </c>
      <c r="I84" s="67">
        <f>SUM(I85:I90)</f>
        <v>0</v>
      </c>
      <c r="J84" s="67">
        <f>SUM(J85:J90)</f>
        <v>0</v>
      </c>
      <c r="K84" s="71" t="s">
        <v>129</v>
      </c>
      <c r="L84" s="67">
        <f>SUM(L85:L90)</f>
        <v>0</v>
      </c>
      <c r="M84" s="106" t="s">
        <v>129</v>
      </c>
      <c r="AG84" s="71" t="s">
        <v>129</v>
      </c>
      <c r="AQ84" s="67">
        <f>SUM(AH85:AH90)</f>
        <v>0</v>
      </c>
      <c r="AR84" s="67">
        <f>SUM(AI85:AI90)</f>
        <v>0</v>
      </c>
      <c r="AS84" s="67">
        <f>SUM(AJ85:AJ90)</f>
        <v>0</v>
      </c>
    </row>
    <row r="85" spans="1:74" x14ac:dyDescent="0.25">
      <c r="A85" s="92" t="s">
        <v>274</v>
      </c>
      <c r="B85" s="69" t="s">
        <v>389</v>
      </c>
      <c r="C85" s="306" t="s">
        <v>390</v>
      </c>
      <c r="D85" s="307"/>
      <c r="E85" s="69" t="s">
        <v>281</v>
      </c>
      <c r="F85" s="77">
        <v>4.42</v>
      </c>
      <c r="G85" s="218">
        <v>0</v>
      </c>
      <c r="H85" s="77">
        <f>F85*AM85</f>
        <v>0</v>
      </c>
      <c r="I85" s="77">
        <f>F85*AN85</f>
        <v>0</v>
      </c>
      <c r="J85" s="77">
        <f>F85*G85</f>
        <v>0</v>
      </c>
      <c r="K85" s="77">
        <v>0</v>
      </c>
      <c r="L85" s="77">
        <f>F85*K85</f>
        <v>0</v>
      </c>
      <c r="M85" s="103" t="s">
        <v>35</v>
      </c>
      <c r="X85" s="77">
        <f>IF(AO85="5",BH85,0)</f>
        <v>0</v>
      </c>
      <c r="Z85" s="77">
        <f>IF(AO85="1",BF85,0)</f>
        <v>0</v>
      </c>
      <c r="AA85" s="77">
        <f>IF(AO85="1",BG85,0)</f>
        <v>0</v>
      </c>
      <c r="AB85" s="77">
        <f>IF(AO85="7",BF85,0)</f>
        <v>0</v>
      </c>
      <c r="AC85" s="77">
        <f>IF(AO85="7",BG85,0)</f>
        <v>0</v>
      </c>
      <c r="AD85" s="77">
        <f>IF(AO85="2",BF85,0)</f>
        <v>0</v>
      </c>
      <c r="AE85" s="77">
        <f>IF(AO85="2",BG85,0)</f>
        <v>0</v>
      </c>
      <c r="AF85" s="77">
        <f>IF(AO85="0",BH85,0)</f>
        <v>0</v>
      </c>
      <c r="AG85" s="71" t="s">
        <v>129</v>
      </c>
      <c r="AH85" s="77">
        <f>IF(AL85=0,J85,0)</f>
        <v>0</v>
      </c>
      <c r="AI85" s="77">
        <f>IF(AL85=15,J85,0)</f>
        <v>0</v>
      </c>
      <c r="AJ85" s="77">
        <f>IF(AL85=21,J85,0)</f>
        <v>0</v>
      </c>
      <c r="AL85" s="77">
        <v>15</v>
      </c>
      <c r="AM85" s="77">
        <f>G85*0</f>
        <v>0</v>
      </c>
      <c r="AN85" s="77">
        <f>G85*(1-0)</f>
        <v>0</v>
      </c>
      <c r="AO85" s="79" t="s">
        <v>158</v>
      </c>
      <c r="AT85" s="77">
        <f>AU85+AV85</f>
        <v>0</v>
      </c>
      <c r="AU85" s="77">
        <f>F85*AM85</f>
        <v>0</v>
      </c>
      <c r="AV85" s="77">
        <f>F85*AN85</f>
        <v>0</v>
      </c>
      <c r="AW85" s="79" t="s">
        <v>391</v>
      </c>
      <c r="AX85" s="79" t="s">
        <v>384</v>
      </c>
      <c r="AY85" s="71" t="s">
        <v>137</v>
      </c>
      <c r="BA85" s="77">
        <f>AU85+AV85</f>
        <v>0</v>
      </c>
      <c r="BB85" s="77">
        <f>G85/(100-BC85)*100</f>
        <v>0</v>
      </c>
      <c r="BC85" s="77">
        <v>0</v>
      </c>
      <c r="BD85" s="77">
        <f>L85</f>
        <v>0</v>
      </c>
      <c r="BF85" s="77">
        <f>F85*AM85</f>
        <v>0</v>
      </c>
      <c r="BG85" s="77">
        <f>F85*AN85</f>
        <v>0</v>
      </c>
      <c r="BH85" s="77">
        <f>F85*G85</f>
        <v>0</v>
      </c>
      <c r="BI85" s="77"/>
      <c r="BJ85" s="77"/>
      <c r="BU85" s="77" t="e">
        <f>#REF!</f>
        <v>#REF!</v>
      </c>
      <c r="BV85" s="70" t="s">
        <v>390</v>
      </c>
    </row>
    <row r="86" spans="1:74" x14ac:dyDescent="0.25">
      <c r="A86" s="92" t="s">
        <v>278</v>
      </c>
      <c r="B86" s="69" t="s">
        <v>393</v>
      </c>
      <c r="C86" s="306" t="s">
        <v>394</v>
      </c>
      <c r="D86" s="307"/>
      <c r="E86" s="69" t="s">
        <v>281</v>
      </c>
      <c r="F86" s="77">
        <v>16.57</v>
      </c>
      <c r="G86" s="218">
        <v>0</v>
      </c>
      <c r="H86" s="77">
        <f>F86*AM86</f>
        <v>0</v>
      </c>
      <c r="I86" s="77">
        <f>F86*AN86</f>
        <v>0</v>
      </c>
      <c r="J86" s="77">
        <f>F86*G86</f>
        <v>0</v>
      </c>
      <c r="K86" s="77">
        <v>0</v>
      </c>
      <c r="L86" s="77">
        <f>F86*K86</f>
        <v>0</v>
      </c>
      <c r="M86" s="103" t="s">
        <v>35</v>
      </c>
      <c r="X86" s="77">
        <f>IF(AO86="5",BH86,0)</f>
        <v>0</v>
      </c>
      <c r="Z86" s="77">
        <f>IF(AO86="1",BF86,0)</f>
        <v>0</v>
      </c>
      <c r="AA86" s="77">
        <f>IF(AO86="1",BG86,0)</f>
        <v>0</v>
      </c>
      <c r="AB86" s="77">
        <f>IF(AO86="7",BF86,0)</f>
        <v>0</v>
      </c>
      <c r="AC86" s="77">
        <f>IF(AO86="7",BG86,0)</f>
        <v>0</v>
      </c>
      <c r="AD86" s="77">
        <f>IF(AO86="2",BF86,0)</f>
        <v>0</v>
      </c>
      <c r="AE86" s="77">
        <f>IF(AO86="2",BG86,0)</f>
        <v>0</v>
      </c>
      <c r="AF86" s="77">
        <f>IF(AO86="0",BH86,0)</f>
        <v>0</v>
      </c>
      <c r="AG86" s="71" t="s">
        <v>129</v>
      </c>
      <c r="AH86" s="77">
        <f>IF(AL86=0,J86,0)</f>
        <v>0</v>
      </c>
      <c r="AI86" s="77">
        <f>IF(AL86=15,J86,0)</f>
        <v>0</v>
      </c>
      <c r="AJ86" s="77">
        <f>IF(AL86=21,J86,0)</f>
        <v>0</v>
      </c>
      <c r="AL86" s="77">
        <v>15</v>
      </c>
      <c r="AM86" s="77">
        <f>G86*0</f>
        <v>0</v>
      </c>
      <c r="AN86" s="77">
        <f>G86*(1-0)</f>
        <v>0</v>
      </c>
      <c r="AO86" s="79" t="s">
        <v>158</v>
      </c>
      <c r="AT86" s="77">
        <f>AU86+AV86</f>
        <v>0</v>
      </c>
      <c r="AU86" s="77">
        <f>F86*AM86</f>
        <v>0</v>
      </c>
      <c r="AV86" s="77">
        <f>F86*AN86</f>
        <v>0</v>
      </c>
      <c r="AW86" s="79" t="s">
        <v>391</v>
      </c>
      <c r="AX86" s="79" t="s">
        <v>384</v>
      </c>
      <c r="AY86" s="71" t="s">
        <v>137</v>
      </c>
      <c r="BA86" s="77">
        <f>AU86+AV86</f>
        <v>0</v>
      </c>
      <c r="BB86" s="77">
        <f>G86/(100-BC86)*100</f>
        <v>0</v>
      </c>
      <c r="BC86" s="77">
        <v>0</v>
      </c>
      <c r="BD86" s="77">
        <f>L86</f>
        <v>0</v>
      </c>
      <c r="BF86" s="77">
        <f>F86*AM86</f>
        <v>0</v>
      </c>
      <c r="BG86" s="77">
        <f>F86*AN86</f>
        <v>0</v>
      </c>
      <c r="BH86" s="77">
        <f>F86*G86</f>
        <v>0</v>
      </c>
      <c r="BI86" s="77"/>
      <c r="BJ86" s="77"/>
      <c r="BU86" s="77" t="e">
        <f>#REF!</f>
        <v>#REF!</v>
      </c>
      <c r="BV86" s="70" t="s">
        <v>394</v>
      </c>
    </row>
    <row r="87" spans="1:74" ht="40.5" customHeight="1" x14ac:dyDescent="0.25">
      <c r="A87" s="104"/>
      <c r="B87" s="81" t="s">
        <v>138</v>
      </c>
      <c r="C87" s="303" t="s">
        <v>1112</v>
      </c>
      <c r="D87" s="304"/>
      <c r="E87" s="304"/>
      <c r="F87" s="304"/>
      <c r="G87" s="304"/>
      <c r="H87" s="304"/>
      <c r="I87" s="304"/>
      <c r="J87" s="304"/>
      <c r="K87" s="304"/>
      <c r="L87" s="304"/>
      <c r="M87" s="305"/>
    </row>
    <row r="88" spans="1:74" x14ac:dyDescent="0.25">
      <c r="A88" s="92" t="s">
        <v>283</v>
      </c>
      <c r="B88" s="69" t="s">
        <v>798</v>
      </c>
      <c r="C88" s="306" t="s">
        <v>799</v>
      </c>
      <c r="D88" s="307"/>
      <c r="E88" s="69" t="s">
        <v>281</v>
      </c>
      <c r="F88" s="77">
        <v>5.53</v>
      </c>
      <c r="G88" s="218">
        <v>0</v>
      </c>
      <c r="H88" s="77">
        <f>F88*AM88</f>
        <v>0</v>
      </c>
      <c r="I88" s="77">
        <f>F88*AN88</f>
        <v>0</v>
      </c>
      <c r="J88" s="77">
        <f>F88*G88</f>
        <v>0</v>
      </c>
      <c r="K88" s="77">
        <v>0</v>
      </c>
      <c r="L88" s="77">
        <f>F88*K88</f>
        <v>0</v>
      </c>
      <c r="M88" s="103" t="s">
        <v>35</v>
      </c>
      <c r="X88" s="77">
        <f>IF(AO88="5",BH88,0)</f>
        <v>0</v>
      </c>
      <c r="Z88" s="77">
        <f>IF(AO88="1",BF88,0)</f>
        <v>0</v>
      </c>
      <c r="AA88" s="77">
        <f>IF(AO88="1",BG88,0)</f>
        <v>0</v>
      </c>
      <c r="AB88" s="77">
        <f>IF(AO88="7",BF88,0)</f>
        <v>0</v>
      </c>
      <c r="AC88" s="77">
        <f>IF(AO88="7",BG88,0)</f>
        <v>0</v>
      </c>
      <c r="AD88" s="77">
        <f>IF(AO88="2",BF88,0)</f>
        <v>0</v>
      </c>
      <c r="AE88" s="77">
        <f>IF(AO88="2",BG88,0)</f>
        <v>0</v>
      </c>
      <c r="AF88" s="77">
        <f>IF(AO88="0",BH88,0)</f>
        <v>0</v>
      </c>
      <c r="AG88" s="71" t="s">
        <v>129</v>
      </c>
      <c r="AH88" s="77">
        <f>IF(AL88=0,J88,0)</f>
        <v>0</v>
      </c>
      <c r="AI88" s="77">
        <f>IF(AL88=15,J88,0)</f>
        <v>0</v>
      </c>
      <c r="AJ88" s="77">
        <f>IF(AL88=21,J88,0)</f>
        <v>0</v>
      </c>
      <c r="AL88" s="77">
        <v>15</v>
      </c>
      <c r="AM88" s="77">
        <f>G88*0</f>
        <v>0</v>
      </c>
      <c r="AN88" s="77">
        <f>G88*(1-0)</f>
        <v>0</v>
      </c>
      <c r="AO88" s="79" t="s">
        <v>158</v>
      </c>
      <c r="AT88" s="77">
        <f>AU88+AV88</f>
        <v>0</v>
      </c>
      <c r="AU88" s="77">
        <f>F88*AM88</f>
        <v>0</v>
      </c>
      <c r="AV88" s="77">
        <f>F88*AN88</f>
        <v>0</v>
      </c>
      <c r="AW88" s="79" t="s">
        <v>391</v>
      </c>
      <c r="AX88" s="79" t="s">
        <v>384</v>
      </c>
      <c r="AY88" s="71" t="s">
        <v>137</v>
      </c>
      <c r="BA88" s="77">
        <f>AU88+AV88</f>
        <v>0</v>
      </c>
      <c r="BB88" s="77">
        <f>G88/(100-BC88)*100</f>
        <v>0</v>
      </c>
      <c r="BC88" s="77">
        <v>0</v>
      </c>
      <c r="BD88" s="77">
        <f>L88</f>
        <v>0</v>
      </c>
      <c r="BF88" s="77">
        <f>F88*AM88</f>
        <v>0</v>
      </c>
      <c r="BG88" s="77">
        <f>F88*AN88</f>
        <v>0</v>
      </c>
      <c r="BH88" s="77">
        <f>F88*G88</f>
        <v>0</v>
      </c>
      <c r="BI88" s="77"/>
      <c r="BJ88" s="77"/>
      <c r="BU88" s="77" t="e">
        <f>#REF!</f>
        <v>#REF!</v>
      </c>
      <c r="BV88" s="70" t="s">
        <v>799</v>
      </c>
    </row>
    <row r="89" spans="1:74" ht="40.5" customHeight="1" x14ac:dyDescent="0.25">
      <c r="A89" s="104"/>
      <c r="B89" s="81" t="s">
        <v>138</v>
      </c>
      <c r="C89" s="303" t="s">
        <v>1113</v>
      </c>
      <c r="D89" s="304"/>
      <c r="E89" s="304"/>
      <c r="F89" s="304"/>
      <c r="G89" s="304"/>
      <c r="H89" s="304"/>
      <c r="I89" s="304"/>
      <c r="J89" s="304"/>
      <c r="K89" s="304"/>
      <c r="L89" s="304"/>
      <c r="M89" s="305"/>
    </row>
    <row r="90" spans="1:74" ht="25.5" x14ac:dyDescent="0.25">
      <c r="A90" s="92" t="s">
        <v>290</v>
      </c>
      <c r="B90" s="69" t="s">
        <v>389</v>
      </c>
      <c r="C90" s="306" t="s">
        <v>400</v>
      </c>
      <c r="D90" s="307"/>
      <c r="E90" s="69" t="s">
        <v>281</v>
      </c>
      <c r="F90" s="77">
        <v>3.11</v>
      </c>
      <c r="G90" s="218">
        <v>0</v>
      </c>
      <c r="H90" s="77">
        <f>F90*AM90</f>
        <v>0</v>
      </c>
      <c r="I90" s="77">
        <f>F90*AN90</f>
        <v>0</v>
      </c>
      <c r="J90" s="77">
        <f>F90*G90</f>
        <v>0</v>
      </c>
      <c r="K90" s="77">
        <v>0</v>
      </c>
      <c r="L90" s="77">
        <f>F90*K90</f>
        <v>0</v>
      </c>
      <c r="M90" s="103" t="s">
        <v>35</v>
      </c>
      <c r="X90" s="77">
        <f>IF(AO90="5",BH90,0)</f>
        <v>0</v>
      </c>
      <c r="Z90" s="77">
        <f>IF(AO90="1",BF90,0)</f>
        <v>0</v>
      </c>
      <c r="AA90" s="77">
        <f>IF(AO90="1",BG90,0)</f>
        <v>0</v>
      </c>
      <c r="AB90" s="77">
        <f>IF(AO90="7",BF90,0)</f>
        <v>0</v>
      </c>
      <c r="AC90" s="77">
        <f>IF(AO90="7",BG90,0)</f>
        <v>0</v>
      </c>
      <c r="AD90" s="77">
        <f>IF(AO90="2",BF90,0)</f>
        <v>0</v>
      </c>
      <c r="AE90" s="77">
        <f>IF(AO90="2",BG90,0)</f>
        <v>0</v>
      </c>
      <c r="AF90" s="77">
        <f>IF(AO90="0",BH90,0)</f>
        <v>0</v>
      </c>
      <c r="AG90" s="71" t="s">
        <v>129</v>
      </c>
      <c r="AH90" s="77">
        <f>IF(AL90=0,J90,0)</f>
        <v>0</v>
      </c>
      <c r="AI90" s="77">
        <f>IF(AL90=15,J90,0)</f>
        <v>0</v>
      </c>
      <c r="AJ90" s="77">
        <f>IF(AL90=21,J90,0)</f>
        <v>0</v>
      </c>
      <c r="AL90" s="77">
        <v>15</v>
      </c>
      <c r="AM90" s="77">
        <f>G90*0</f>
        <v>0</v>
      </c>
      <c r="AN90" s="77">
        <f>G90*(1-0)</f>
        <v>0</v>
      </c>
      <c r="AO90" s="79" t="s">
        <v>158</v>
      </c>
      <c r="AT90" s="77">
        <f>AU90+AV90</f>
        <v>0</v>
      </c>
      <c r="AU90" s="77">
        <f>F90*AM90</f>
        <v>0</v>
      </c>
      <c r="AV90" s="77">
        <f>F90*AN90</f>
        <v>0</v>
      </c>
      <c r="AW90" s="79" t="s">
        <v>391</v>
      </c>
      <c r="AX90" s="79" t="s">
        <v>384</v>
      </c>
      <c r="AY90" s="71" t="s">
        <v>137</v>
      </c>
      <c r="BA90" s="77">
        <f>AU90+AV90</f>
        <v>0</v>
      </c>
      <c r="BB90" s="77">
        <f>G90/(100-BC90)*100</f>
        <v>0</v>
      </c>
      <c r="BC90" s="77">
        <v>0</v>
      </c>
      <c r="BD90" s="77">
        <f>L90</f>
        <v>0</v>
      </c>
      <c r="BF90" s="77">
        <f>F90*AM90</f>
        <v>0</v>
      </c>
      <c r="BG90" s="77">
        <f>F90*AN90</f>
        <v>0</v>
      </c>
      <c r="BH90" s="77">
        <f>F90*G90</f>
        <v>0</v>
      </c>
      <c r="BI90" s="77"/>
      <c r="BJ90" s="77"/>
      <c r="BU90" s="77" t="e">
        <f>#REF!</f>
        <v>#REF!</v>
      </c>
      <c r="BV90" s="70" t="s">
        <v>400</v>
      </c>
    </row>
    <row r="91" spans="1:74" x14ac:dyDescent="0.25">
      <c r="A91" s="105" t="s">
        <v>129</v>
      </c>
      <c r="B91" s="74" t="s">
        <v>401</v>
      </c>
      <c r="C91" s="314" t="s">
        <v>402</v>
      </c>
      <c r="D91" s="315"/>
      <c r="E91" s="75" t="s">
        <v>87</v>
      </c>
      <c r="F91" s="75" t="s">
        <v>87</v>
      </c>
      <c r="G91" s="75" t="s">
        <v>87</v>
      </c>
      <c r="H91" s="67">
        <f>SUM(H92:H93)</f>
        <v>0</v>
      </c>
      <c r="I91" s="67">
        <f>SUM(I92:I93)</f>
        <v>0</v>
      </c>
      <c r="J91" s="67">
        <f>SUM(J92:J93)</f>
        <v>0</v>
      </c>
      <c r="K91" s="71" t="s">
        <v>129</v>
      </c>
      <c r="L91" s="67">
        <f>SUM(L92:L93)</f>
        <v>0</v>
      </c>
      <c r="M91" s="106" t="s">
        <v>129</v>
      </c>
      <c r="AG91" s="71" t="s">
        <v>129</v>
      </c>
      <c r="AQ91" s="67">
        <f>SUM(AH92:AH93)</f>
        <v>0</v>
      </c>
      <c r="AR91" s="67">
        <f>SUM(AI92:AI93)</f>
        <v>0</v>
      </c>
      <c r="AS91" s="67">
        <f>SUM(AJ92:AJ93)</f>
        <v>0</v>
      </c>
    </row>
    <row r="92" spans="1:74" x14ac:dyDescent="0.25">
      <c r="A92" s="92" t="s">
        <v>298</v>
      </c>
      <c r="B92" s="69" t="s">
        <v>404</v>
      </c>
      <c r="C92" s="306" t="s">
        <v>405</v>
      </c>
      <c r="D92" s="307"/>
      <c r="E92" s="69" t="s">
        <v>281</v>
      </c>
      <c r="F92" s="77">
        <v>1.01</v>
      </c>
      <c r="G92" s="218">
        <v>0</v>
      </c>
      <c r="H92" s="77">
        <f>F92*AM92</f>
        <v>0</v>
      </c>
      <c r="I92" s="77">
        <f>F92*AN92</f>
        <v>0</v>
      </c>
      <c r="J92" s="77">
        <f>F92*G92</f>
        <v>0</v>
      </c>
      <c r="K92" s="77">
        <v>0</v>
      </c>
      <c r="L92" s="77">
        <f>F92*K92</f>
        <v>0</v>
      </c>
      <c r="M92" s="103" t="s">
        <v>35</v>
      </c>
      <c r="X92" s="77">
        <f>IF(AO92="5",BH92,0)</f>
        <v>0</v>
      </c>
      <c r="Z92" s="77">
        <f>IF(AO92="1",BF92,0)</f>
        <v>0</v>
      </c>
      <c r="AA92" s="77">
        <f>IF(AO92="1",BG92,0)</f>
        <v>0</v>
      </c>
      <c r="AB92" s="77">
        <f>IF(AO92="7",BF92,0)</f>
        <v>0</v>
      </c>
      <c r="AC92" s="77">
        <f>IF(AO92="7",BG92,0)</f>
        <v>0</v>
      </c>
      <c r="AD92" s="77">
        <f>IF(AO92="2",BF92,0)</f>
        <v>0</v>
      </c>
      <c r="AE92" s="77">
        <f>IF(AO92="2",BG92,0)</f>
        <v>0</v>
      </c>
      <c r="AF92" s="77">
        <f>IF(AO92="0",BH92,0)</f>
        <v>0</v>
      </c>
      <c r="AG92" s="71" t="s">
        <v>129</v>
      </c>
      <c r="AH92" s="77">
        <f>IF(AL92=0,J92,0)</f>
        <v>0</v>
      </c>
      <c r="AI92" s="77">
        <f>IF(AL92=15,J92,0)</f>
        <v>0</v>
      </c>
      <c r="AJ92" s="77">
        <f>IF(AL92=21,J92,0)</f>
        <v>0</v>
      </c>
      <c r="AL92" s="77">
        <v>15</v>
      </c>
      <c r="AM92" s="77">
        <f>G92*0</f>
        <v>0</v>
      </c>
      <c r="AN92" s="77">
        <f>G92*(1-0)</f>
        <v>0</v>
      </c>
      <c r="AO92" s="79" t="s">
        <v>158</v>
      </c>
      <c r="AT92" s="77">
        <f>AU92+AV92</f>
        <v>0</v>
      </c>
      <c r="AU92" s="77">
        <f>F92*AM92</f>
        <v>0</v>
      </c>
      <c r="AV92" s="77">
        <f>F92*AN92</f>
        <v>0</v>
      </c>
      <c r="AW92" s="79" t="s">
        <v>406</v>
      </c>
      <c r="AX92" s="79" t="s">
        <v>384</v>
      </c>
      <c r="AY92" s="71" t="s">
        <v>137</v>
      </c>
      <c r="BA92" s="77">
        <f>AU92+AV92</f>
        <v>0</v>
      </c>
      <c r="BB92" s="77">
        <f>G92/(100-BC92)*100</f>
        <v>0</v>
      </c>
      <c r="BC92" s="77">
        <v>0</v>
      </c>
      <c r="BD92" s="77">
        <f>L92</f>
        <v>0</v>
      </c>
      <c r="BF92" s="77">
        <f>F92*AM92</f>
        <v>0</v>
      </c>
      <c r="BG92" s="77">
        <f>F92*AN92</f>
        <v>0</v>
      </c>
      <c r="BH92" s="77">
        <f>F92*G92</f>
        <v>0</v>
      </c>
      <c r="BI92" s="77"/>
      <c r="BJ92" s="77"/>
      <c r="BU92" s="77" t="e">
        <f>#REF!</f>
        <v>#REF!</v>
      </c>
      <c r="BV92" s="70" t="s">
        <v>405</v>
      </c>
    </row>
    <row r="93" spans="1:74" x14ac:dyDescent="0.25">
      <c r="A93" s="92" t="s">
        <v>304</v>
      </c>
      <c r="B93" s="69" t="s">
        <v>408</v>
      </c>
      <c r="C93" s="306" t="s">
        <v>409</v>
      </c>
      <c r="D93" s="307"/>
      <c r="E93" s="69" t="s">
        <v>281</v>
      </c>
      <c r="F93" s="77">
        <v>3.51</v>
      </c>
      <c r="G93" s="218">
        <v>0</v>
      </c>
      <c r="H93" s="77">
        <f>F93*AM93</f>
        <v>0</v>
      </c>
      <c r="I93" s="77">
        <f>F93*AN93</f>
        <v>0</v>
      </c>
      <c r="J93" s="77">
        <f>F93*G93</f>
        <v>0</v>
      </c>
      <c r="K93" s="77">
        <v>0</v>
      </c>
      <c r="L93" s="77">
        <f>F93*K93</f>
        <v>0</v>
      </c>
      <c r="M93" s="103" t="s">
        <v>35</v>
      </c>
      <c r="X93" s="77">
        <f>IF(AO93="5",BH93,0)</f>
        <v>0</v>
      </c>
      <c r="Z93" s="77">
        <f>IF(AO93="1",BF93,0)</f>
        <v>0</v>
      </c>
      <c r="AA93" s="77">
        <f>IF(AO93="1",BG93,0)</f>
        <v>0</v>
      </c>
      <c r="AB93" s="77">
        <f>IF(AO93="7",BF93,0)</f>
        <v>0</v>
      </c>
      <c r="AC93" s="77">
        <f>IF(AO93="7",BG93,0)</f>
        <v>0</v>
      </c>
      <c r="AD93" s="77">
        <f>IF(AO93="2",BF93,0)</f>
        <v>0</v>
      </c>
      <c r="AE93" s="77">
        <f>IF(AO93="2",BG93,0)</f>
        <v>0</v>
      </c>
      <c r="AF93" s="77">
        <f>IF(AO93="0",BH93,0)</f>
        <v>0</v>
      </c>
      <c r="AG93" s="71" t="s">
        <v>129</v>
      </c>
      <c r="AH93" s="77">
        <f>IF(AL93=0,J93,0)</f>
        <v>0</v>
      </c>
      <c r="AI93" s="77">
        <f>IF(AL93=15,J93,0)</f>
        <v>0</v>
      </c>
      <c r="AJ93" s="77">
        <f>IF(AL93=21,J93,0)</f>
        <v>0</v>
      </c>
      <c r="AL93" s="77">
        <v>15</v>
      </c>
      <c r="AM93" s="77">
        <f>G93*0</f>
        <v>0</v>
      </c>
      <c r="AN93" s="77">
        <f>G93*(1-0)</f>
        <v>0</v>
      </c>
      <c r="AO93" s="79" t="s">
        <v>158</v>
      </c>
      <c r="AT93" s="77">
        <f>AU93+AV93</f>
        <v>0</v>
      </c>
      <c r="AU93" s="77">
        <f>F93*AM93</f>
        <v>0</v>
      </c>
      <c r="AV93" s="77">
        <f>F93*AN93</f>
        <v>0</v>
      </c>
      <c r="AW93" s="79" t="s">
        <v>406</v>
      </c>
      <c r="AX93" s="79" t="s">
        <v>384</v>
      </c>
      <c r="AY93" s="71" t="s">
        <v>137</v>
      </c>
      <c r="BA93" s="77">
        <f>AU93+AV93</f>
        <v>0</v>
      </c>
      <c r="BB93" s="77">
        <f>G93/(100-BC93)*100</f>
        <v>0</v>
      </c>
      <c r="BC93" s="77">
        <v>0</v>
      </c>
      <c r="BD93" s="77">
        <f>L93</f>
        <v>0</v>
      </c>
      <c r="BF93" s="77">
        <f>F93*AM93</f>
        <v>0</v>
      </c>
      <c r="BG93" s="77">
        <f>F93*AN93</f>
        <v>0</v>
      </c>
      <c r="BH93" s="77">
        <f>F93*G93</f>
        <v>0</v>
      </c>
      <c r="BI93" s="77"/>
      <c r="BJ93" s="77"/>
      <c r="BU93" s="77" t="e">
        <f>#REF!</f>
        <v>#REF!</v>
      </c>
      <c r="BV93" s="70" t="s">
        <v>409</v>
      </c>
    </row>
    <row r="94" spans="1:74" x14ac:dyDescent="0.25">
      <c r="A94" s="105" t="s">
        <v>129</v>
      </c>
      <c r="B94" s="74" t="s">
        <v>585</v>
      </c>
      <c r="C94" s="314" t="s">
        <v>586</v>
      </c>
      <c r="D94" s="315"/>
      <c r="E94" s="75" t="s">
        <v>87</v>
      </c>
      <c r="F94" s="75" t="s">
        <v>87</v>
      </c>
      <c r="G94" s="75" t="s">
        <v>87</v>
      </c>
      <c r="H94" s="67">
        <f>SUM(H95:H95)</f>
        <v>0</v>
      </c>
      <c r="I94" s="67">
        <f>SUM(I95:I95)</f>
        <v>0</v>
      </c>
      <c r="J94" s="67">
        <f>SUM(J95:J95)</f>
        <v>0</v>
      </c>
      <c r="K94" s="71" t="s">
        <v>129</v>
      </c>
      <c r="L94" s="67">
        <f>SUM(L95:L95)</f>
        <v>0</v>
      </c>
      <c r="M94" s="106" t="s">
        <v>129</v>
      </c>
      <c r="AG94" s="71" t="s">
        <v>129</v>
      </c>
      <c r="AQ94" s="67">
        <f>SUM(AH95:AH95)</f>
        <v>0</v>
      </c>
      <c r="AR94" s="67">
        <f>SUM(AI95:AI95)</f>
        <v>0</v>
      </c>
      <c r="AS94" s="67">
        <f>SUM(AJ95:AJ95)</f>
        <v>0</v>
      </c>
    </row>
    <row r="95" spans="1:74" ht="15.75" thickBot="1" x14ac:dyDescent="0.3">
      <c r="A95" s="93" t="s">
        <v>308</v>
      </c>
      <c r="B95" s="94" t="s">
        <v>587</v>
      </c>
      <c r="C95" s="316" t="s">
        <v>588</v>
      </c>
      <c r="D95" s="317"/>
      <c r="E95" s="94" t="s">
        <v>281</v>
      </c>
      <c r="F95" s="125">
        <v>0.01</v>
      </c>
      <c r="G95" s="220">
        <v>0</v>
      </c>
      <c r="H95" s="125">
        <f>F95*AM95</f>
        <v>0</v>
      </c>
      <c r="I95" s="125">
        <f>F95*AN95</f>
        <v>0</v>
      </c>
      <c r="J95" s="125">
        <f>F95*G95</f>
        <v>0</v>
      </c>
      <c r="K95" s="125">
        <v>0</v>
      </c>
      <c r="L95" s="125">
        <f>F95*K95</f>
        <v>0</v>
      </c>
      <c r="M95" s="126" t="s">
        <v>35</v>
      </c>
      <c r="X95" s="77">
        <f>IF(AO95="5",BH95,0)</f>
        <v>0</v>
      </c>
      <c r="Z95" s="77">
        <f>IF(AO95="1",BF95,0)</f>
        <v>0</v>
      </c>
      <c r="AA95" s="77">
        <f>IF(AO95="1",BG95,0)</f>
        <v>0</v>
      </c>
      <c r="AB95" s="77">
        <f>IF(AO95="7",BF95,0)</f>
        <v>0</v>
      </c>
      <c r="AC95" s="77">
        <f>IF(AO95="7",BG95,0)</f>
        <v>0</v>
      </c>
      <c r="AD95" s="77">
        <f>IF(AO95="2",BF95,0)</f>
        <v>0</v>
      </c>
      <c r="AE95" s="77">
        <f>IF(AO95="2",BG95,0)</f>
        <v>0</v>
      </c>
      <c r="AF95" s="77">
        <f>IF(AO95="0",BH95,0)</f>
        <v>0</v>
      </c>
      <c r="AG95" s="71" t="s">
        <v>129</v>
      </c>
      <c r="AH95" s="77">
        <f>IF(AL95=0,J95,0)</f>
        <v>0</v>
      </c>
      <c r="AI95" s="77">
        <f>IF(AL95=15,J95,0)</f>
        <v>0</v>
      </c>
      <c r="AJ95" s="77">
        <f>IF(AL95=21,J95,0)</f>
        <v>0</v>
      </c>
      <c r="AL95" s="77">
        <v>15</v>
      </c>
      <c r="AM95" s="77">
        <f>G95*0</f>
        <v>0</v>
      </c>
      <c r="AN95" s="77">
        <f>G95*(1-0)</f>
        <v>0</v>
      </c>
      <c r="AO95" s="79" t="s">
        <v>158</v>
      </c>
      <c r="AT95" s="77">
        <f>AU95+AV95</f>
        <v>0</v>
      </c>
      <c r="AU95" s="77">
        <f>F95*AM95</f>
        <v>0</v>
      </c>
      <c r="AV95" s="77">
        <f>F95*AN95</f>
        <v>0</v>
      </c>
      <c r="AW95" s="79" t="s">
        <v>589</v>
      </c>
      <c r="AX95" s="79" t="s">
        <v>384</v>
      </c>
      <c r="AY95" s="71" t="s">
        <v>137</v>
      </c>
      <c r="BA95" s="77">
        <f>AU95+AV95</f>
        <v>0</v>
      </c>
      <c r="BB95" s="77">
        <f>G95/(100-BC95)*100</f>
        <v>0</v>
      </c>
      <c r="BC95" s="77">
        <v>0</v>
      </c>
      <c r="BD95" s="77">
        <f>L95</f>
        <v>0</v>
      </c>
      <c r="BF95" s="77">
        <f>F95*AM95</f>
        <v>0</v>
      </c>
      <c r="BG95" s="77">
        <f>F95*AN95</f>
        <v>0</v>
      </c>
      <c r="BH95" s="77">
        <f>F95*G95</f>
        <v>0</v>
      </c>
      <c r="BI95" s="77"/>
      <c r="BJ95" s="77"/>
      <c r="BU95" s="77" t="e">
        <f>#REF!</f>
        <v>#REF!</v>
      </c>
      <c r="BV95" s="70" t="s">
        <v>588</v>
      </c>
    </row>
    <row r="96" spans="1:74" x14ac:dyDescent="0.25">
      <c r="H96" s="311" t="s">
        <v>475</v>
      </c>
      <c r="I96" s="311"/>
      <c r="J96" s="84">
        <f>ROUND(J12+J21+J24+J33+J38+J47+J54+J57+J60+J63+J70+J73+J76+J81+J84+J91+J94,1)</f>
        <v>0</v>
      </c>
    </row>
    <row r="97" spans="1:13" x14ac:dyDescent="0.25">
      <c r="A97" s="85" t="s">
        <v>138</v>
      </c>
    </row>
    <row r="98" spans="1:13" ht="27" customHeight="1" x14ac:dyDescent="0.25">
      <c r="A98" s="306" t="s">
        <v>953</v>
      </c>
      <c r="B98" s="307"/>
      <c r="C98" s="307"/>
      <c r="D98" s="307"/>
      <c r="E98" s="307"/>
      <c r="F98" s="307"/>
      <c r="G98" s="307"/>
      <c r="H98" s="307"/>
      <c r="I98" s="307"/>
      <c r="J98" s="307"/>
      <c r="K98" s="307"/>
      <c r="L98" s="307"/>
      <c r="M98" s="307"/>
    </row>
  </sheetData>
  <sheetProtection algorithmName="SHA-512" hashValue="CrAL3JvMhBLgAkM5/CBoI4nX2AgqFfgUvLs6DGfy7B3zX6ctfHe962+NmLXtewM9b+9aoVySQLpcDo0BLhjPRw==" saltValue="hZ+JHEDSWbDZAJGJE+Gx0Q==" spinCount="100000" sheet="1" formatCells="0" formatColumns="0" formatRows="0" insertColumns="0" insertRows="0" insertHyperlinks="0"/>
  <mergeCells count="115">
    <mergeCell ref="C95:D95"/>
    <mergeCell ref="H96:I96"/>
    <mergeCell ref="A98:M98"/>
    <mergeCell ref="C89:M89"/>
    <mergeCell ref="C90:D90"/>
    <mergeCell ref="C91:D91"/>
    <mergeCell ref="C92:D92"/>
    <mergeCell ref="C93:D93"/>
    <mergeCell ref="C94:D94"/>
    <mergeCell ref="C83:M83"/>
    <mergeCell ref="C84:D84"/>
    <mergeCell ref="C85:D85"/>
    <mergeCell ref="C86:D86"/>
    <mergeCell ref="C87:M87"/>
    <mergeCell ref="C88:D88"/>
    <mergeCell ref="C77:D77"/>
    <mergeCell ref="C78:M78"/>
    <mergeCell ref="C79:D79"/>
    <mergeCell ref="C80:M80"/>
    <mergeCell ref="C81:D81"/>
    <mergeCell ref="C82:D82"/>
    <mergeCell ref="C71:D71"/>
    <mergeCell ref="C72:M72"/>
    <mergeCell ref="C73:D73"/>
    <mergeCell ref="C74:D74"/>
    <mergeCell ref="C75:M75"/>
    <mergeCell ref="C76:D76"/>
    <mergeCell ref="C65:M65"/>
    <mergeCell ref="C66:D66"/>
    <mergeCell ref="C67:M67"/>
    <mergeCell ref="C68:D68"/>
    <mergeCell ref="C69:M69"/>
    <mergeCell ref="C70:D70"/>
    <mergeCell ref="C59:M59"/>
    <mergeCell ref="C60:D60"/>
    <mergeCell ref="C61:D61"/>
    <mergeCell ref="C62:M62"/>
    <mergeCell ref="C63:D63"/>
    <mergeCell ref="C64:D64"/>
    <mergeCell ref="C53:M53"/>
    <mergeCell ref="C54:D54"/>
    <mergeCell ref="C55:D55"/>
    <mergeCell ref="C56:M56"/>
    <mergeCell ref="C57:D57"/>
    <mergeCell ref="C58:D58"/>
    <mergeCell ref="C47:D47"/>
    <mergeCell ref="C48:D48"/>
    <mergeCell ref="C49:M49"/>
    <mergeCell ref="C50:D50"/>
    <mergeCell ref="C51:M51"/>
    <mergeCell ref="C52:D52"/>
    <mergeCell ref="C41:D41"/>
    <mergeCell ref="C42:M42"/>
    <mergeCell ref="C43:D43"/>
    <mergeCell ref="C44:M44"/>
    <mergeCell ref="C45:D45"/>
    <mergeCell ref="C46:M46"/>
    <mergeCell ref="C35:M35"/>
    <mergeCell ref="C36:D36"/>
    <mergeCell ref="C37:M37"/>
    <mergeCell ref="C38:D38"/>
    <mergeCell ref="C39:D39"/>
    <mergeCell ref="C40:M40"/>
    <mergeCell ref="C29:D29"/>
    <mergeCell ref="C30:M30"/>
    <mergeCell ref="C31:D31"/>
    <mergeCell ref="C32:M32"/>
    <mergeCell ref="C33:D33"/>
    <mergeCell ref="C34:D34"/>
    <mergeCell ref="C23:M23"/>
    <mergeCell ref="C24:D24"/>
    <mergeCell ref="C25:D25"/>
    <mergeCell ref="C26:M26"/>
    <mergeCell ref="C27:D27"/>
    <mergeCell ref="C28:M28"/>
    <mergeCell ref="C17:D17"/>
    <mergeCell ref="C18:M18"/>
    <mergeCell ref="C19:D19"/>
    <mergeCell ref="C20:M20"/>
    <mergeCell ref="C21:D21"/>
    <mergeCell ref="C22:D22"/>
    <mergeCell ref="C14:M14"/>
    <mergeCell ref="C15:D15"/>
    <mergeCell ref="C16:M16"/>
    <mergeCell ref="A8:B9"/>
    <mergeCell ref="C8:D9"/>
    <mergeCell ref="E8:F9"/>
    <mergeCell ref="G8:G9"/>
    <mergeCell ref="C10:D10"/>
    <mergeCell ref="H10:J10"/>
    <mergeCell ref="K10:L10"/>
    <mergeCell ref="H8:H9"/>
    <mergeCell ref="I8:M9"/>
    <mergeCell ref="A6:B7"/>
    <mergeCell ref="C6:D7"/>
    <mergeCell ref="E6:F7"/>
    <mergeCell ref="G6:G7"/>
    <mergeCell ref="H6:H7"/>
    <mergeCell ref="I6:M7"/>
    <mergeCell ref="C11:D11"/>
    <mergeCell ref="C12:D12"/>
    <mergeCell ref="C13:D13"/>
    <mergeCell ref="A1:M1"/>
    <mergeCell ref="A2:B3"/>
    <mergeCell ref="C2:D3"/>
    <mergeCell ref="E2:F3"/>
    <mergeCell ref="G2:G3"/>
    <mergeCell ref="H2:H3"/>
    <mergeCell ref="I2:M3"/>
    <mergeCell ref="H4:H5"/>
    <mergeCell ref="I4:M5"/>
    <mergeCell ref="A4:B5"/>
    <mergeCell ref="C4:D5"/>
    <mergeCell ref="E4:F5"/>
    <mergeCell ref="G4:G5"/>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3" manualBreakCount="3">
    <brk id="26" max="12" man="1"/>
    <brk id="51" max="12" man="1"/>
    <brk id="78" max="12"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CCD06-6DDD-4B7D-9CF2-74E4FDDF89C3}">
  <sheetPr codeName="List4">
    <pageSetUpPr fitToPage="1"/>
  </sheetPr>
  <dimension ref="A1:BV93"/>
  <sheetViews>
    <sheetView view="pageBreakPreview" zoomScale="55" zoomScaleNormal="10" zoomScaleSheetLayoutView="55" workbookViewId="0">
      <pane ySplit="11" topLeftCell="A12" activePane="bottomLeft" state="frozen"/>
      <selection activeCell="D44" sqref="D44"/>
      <selection pane="bottomLeft" activeCell="C44" sqref="C44:M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85</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1114</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1070</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SUM(H13:H15)</f>
        <v>0</v>
      </c>
      <c r="I12" s="100">
        <f>SUM(I13:I15)</f>
        <v>0</v>
      </c>
      <c r="J12" s="100">
        <f>SUM(J13:J15)</f>
        <v>0</v>
      </c>
      <c r="K12" s="101" t="s">
        <v>129</v>
      </c>
      <c r="L12" s="100">
        <f>SUM(L13:L15)</f>
        <v>9.1192510000000002</v>
      </c>
      <c r="M12" s="102" t="s">
        <v>129</v>
      </c>
      <c r="AG12" s="71" t="s">
        <v>129</v>
      </c>
      <c r="AQ12" s="67">
        <f>SUM(AH13:AH15)</f>
        <v>0</v>
      </c>
      <c r="AR12" s="67">
        <f>SUM(AI13:AI15)</f>
        <v>0</v>
      </c>
      <c r="AS12" s="67">
        <f>SUM(AJ13:AJ15)</f>
        <v>0</v>
      </c>
    </row>
    <row r="13" spans="1:74" x14ac:dyDescent="0.25">
      <c r="A13" s="92" t="s">
        <v>132</v>
      </c>
      <c r="B13" s="69" t="s">
        <v>493</v>
      </c>
      <c r="C13" s="306" t="s">
        <v>494</v>
      </c>
      <c r="D13" s="307"/>
      <c r="E13" s="69" t="s">
        <v>166</v>
      </c>
      <c r="F13" s="77">
        <v>7.51</v>
      </c>
      <c r="G13" s="218">
        <v>0</v>
      </c>
      <c r="H13" s="77">
        <f>F13*AM13</f>
        <v>0</v>
      </c>
      <c r="I13" s="77">
        <f>F13*AN13</f>
        <v>0</v>
      </c>
      <c r="J13" s="77">
        <f>F13*G13</f>
        <v>0</v>
      </c>
      <c r="K13" s="77">
        <v>0.90010000000000001</v>
      </c>
      <c r="L13" s="77">
        <f>F13*K13</f>
        <v>6.7597509999999996</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G13*0.006611224</f>
        <v>0</v>
      </c>
      <c r="AN13" s="77">
        <f>G13*(1-0.006611224)</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6.7597509999999996</v>
      </c>
      <c r="BF13" s="77">
        <f>F13*AM13</f>
        <v>0</v>
      </c>
      <c r="BG13" s="77">
        <f>F13*AN13</f>
        <v>0</v>
      </c>
      <c r="BH13" s="77">
        <f>F13*G13</f>
        <v>0</v>
      </c>
      <c r="BI13" s="77"/>
      <c r="BJ13" s="77">
        <v>11</v>
      </c>
      <c r="BU13" s="77" t="e">
        <f>#REF!</f>
        <v>#REF!</v>
      </c>
      <c r="BV13" s="70" t="s">
        <v>494</v>
      </c>
    </row>
    <row r="14" spans="1:74" ht="162" customHeight="1" x14ac:dyDescent="0.25">
      <c r="A14" s="104"/>
      <c r="B14" s="81" t="s">
        <v>138</v>
      </c>
      <c r="C14" s="303" t="s">
        <v>1115</v>
      </c>
      <c r="D14" s="304"/>
      <c r="E14" s="304"/>
      <c r="F14" s="304"/>
      <c r="G14" s="304"/>
      <c r="H14" s="304"/>
      <c r="I14" s="304"/>
      <c r="J14" s="304"/>
      <c r="K14" s="304"/>
      <c r="L14" s="304"/>
      <c r="M14" s="305"/>
    </row>
    <row r="15" spans="1:74" x14ac:dyDescent="0.25">
      <c r="A15" s="92" t="s">
        <v>142</v>
      </c>
      <c r="B15" s="69" t="s">
        <v>819</v>
      </c>
      <c r="C15" s="306" t="s">
        <v>990</v>
      </c>
      <c r="D15" s="307"/>
      <c r="E15" s="69" t="s">
        <v>166</v>
      </c>
      <c r="F15" s="77">
        <v>7.15</v>
      </c>
      <c r="G15" s="218">
        <v>0</v>
      </c>
      <c r="H15" s="77">
        <f>F15*AM15</f>
        <v>0</v>
      </c>
      <c r="I15" s="77">
        <f>F15*AN15</f>
        <v>0</v>
      </c>
      <c r="J15" s="77">
        <f>F15*G15</f>
        <v>0</v>
      </c>
      <c r="K15" s="77">
        <v>0.33</v>
      </c>
      <c r="L15" s="77">
        <f>F15*K15</f>
        <v>2.3595000000000002</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f>
        <v>0</v>
      </c>
      <c r="AN15" s="77">
        <f>G15*(1-0)</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2.3595000000000002</v>
      </c>
      <c r="BF15" s="77">
        <f>F15*AM15</f>
        <v>0</v>
      </c>
      <c r="BG15" s="77">
        <f>F15*AN15</f>
        <v>0</v>
      </c>
      <c r="BH15" s="77">
        <f>F15*G15</f>
        <v>0</v>
      </c>
      <c r="BI15" s="77"/>
      <c r="BJ15" s="77">
        <v>11</v>
      </c>
      <c r="BU15" s="77" t="e">
        <f>#REF!</f>
        <v>#REF!</v>
      </c>
      <c r="BV15" s="70" t="s">
        <v>990</v>
      </c>
    </row>
    <row r="16" spans="1:74" ht="67.5" customHeight="1" x14ac:dyDescent="0.25">
      <c r="A16" s="104"/>
      <c r="B16" s="81" t="s">
        <v>138</v>
      </c>
      <c r="C16" s="303" t="s">
        <v>1207</v>
      </c>
      <c r="D16" s="304"/>
      <c r="E16" s="304"/>
      <c r="F16" s="304"/>
      <c r="G16" s="304"/>
      <c r="H16" s="304"/>
      <c r="I16" s="304"/>
      <c r="J16" s="304"/>
      <c r="K16" s="304"/>
      <c r="L16" s="304"/>
      <c r="M16" s="305"/>
    </row>
    <row r="17" spans="1:74" x14ac:dyDescent="0.25">
      <c r="A17" s="105" t="s">
        <v>129</v>
      </c>
      <c r="B17" s="74" t="s">
        <v>180</v>
      </c>
      <c r="C17" s="314" t="s">
        <v>181</v>
      </c>
      <c r="D17" s="315"/>
      <c r="E17" s="75" t="s">
        <v>87</v>
      </c>
      <c r="F17" s="75" t="s">
        <v>87</v>
      </c>
      <c r="G17" s="75" t="s">
        <v>87</v>
      </c>
      <c r="H17" s="67">
        <f>SUM(H18:H24)</f>
        <v>0</v>
      </c>
      <c r="I17" s="67">
        <f>SUM(I18:I24)</f>
        <v>0</v>
      </c>
      <c r="J17" s="67">
        <f>SUM(J18:J24)</f>
        <v>0</v>
      </c>
      <c r="K17" s="71" t="s">
        <v>129</v>
      </c>
      <c r="L17" s="67">
        <f>SUM(L18:L24)</f>
        <v>0</v>
      </c>
      <c r="M17" s="106" t="s">
        <v>129</v>
      </c>
      <c r="AG17" s="71" t="s">
        <v>129</v>
      </c>
      <c r="AQ17" s="67">
        <f>SUM(AH18:AH24)</f>
        <v>0</v>
      </c>
      <c r="AR17" s="67">
        <f>SUM(AI18:AI24)</f>
        <v>0</v>
      </c>
      <c r="AS17" s="67">
        <f>SUM(AJ18:AJ24)</f>
        <v>0</v>
      </c>
    </row>
    <row r="18" spans="1:74" x14ac:dyDescent="0.25">
      <c r="A18" s="92" t="s">
        <v>149</v>
      </c>
      <c r="B18" s="69" t="s">
        <v>825</v>
      </c>
      <c r="C18" s="306" t="s">
        <v>907</v>
      </c>
      <c r="D18" s="307"/>
      <c r="E18" s="69" t="s">
        <v>177</v>
      </c>
      <c r="F18" s="77">
        <v>3.21</v>
      </c>
      <c r="G18" s="218">
        <v>0</v>
      </c>
      <c r="H18" s="77">
        <f>F18*AM18</f>
        <v>0</v>
      </c>
      <c r="I18" s="77">
        <f>F18*AN18</f>
        <v>0</v>
      </c>
      <c r="J18" s="77">
        <f>F18*G18</f>
        <v>0</v>
      </c>
      <c r="K18" s="77">
        <v>0</v>
      </c>
      <c r="L18" s="77">
        <f>F18*K18</f>
        <v>0</v>
      </c>
      <c r="M18" s="103" t="s">
        <v>35</v>
      </c>
      <c r="X18" s="77">
        <f>IF(AO18="5",BH18,0)</f>
        <v>0</v>
      </c>
      <c r="Z18" s="77">
        <f>IF(AO18="1",BF18,0)</f>
        <v>0</v>
      </c>
      <c r="AA18" s="77">
        <f>IF(AO18="1",BG18,0)</f>
        <v>0</v>
      </c>
      <c r="AB18" s="77">
        <f>IF(AO18="7",BF18,0)</f>
        <v>0</v>
      </c>
      <c r="AC18" s="77">
        <f>IF(AO18="7",BG18,0)</f>
        <v>0</v>
      </c>
      <c r="AD18" s="77">
        <f>IF(AO18="2",BF18,0)</f>
        <v>0</v>
      </c>
      <c r="AE18" s="77">
        <f>IF(AO18="2",BG18,0)</f>
        <v>0</v>
      </c>
      <c r="AF18" s="77">
        <f>IF(AO18="0",BH18,0)</f>
        <v>0</v>
      </c>
      <c r="AG18" s="71" t="s">
        <v>129</v>
      </c>
      <c r="AH18" s="77">
        <f>IF(AL18=0,J18,0)</f>
        <v>0</v>
      </c>
      <c r="AI18" s="77">
        <f>IF(AL18=15,J18,0)</f>
        <v>0</v>
      </c>
      <c r="AJ18" s="77">
        <f>IF(AL18=21,J18,0)</f>
        <v>0</v>
      </c>
      <c r="AL18" s="77">
        <v>15</v>
      </c>
      <c r="AM18" s="77">
        <f>G18*0</f>
        <v>0</v>
      </c>
      <c r="AN18" s="77">
        <f>G18*(1-0)</f>
        <v>0</v>
      </c>
      <c r="AO18" s="79" t="s">
        <v>132</v>
      </c>
      <c r="AT18" s="77">
        <f>AU18+AV18</f>
        <v>0</v>
      </c>
      <c r="AU18" s="77">
        <f>F18*AM18</f>
        <v>0</v>
      </c>
      <c r="AV18" s="77">
        <f>F18*AN18</f>
        <v>0</v>
      </c>
      <c r="AW18" s="79" t="s">
        <v>185</v>
      </c>
      <c r="AX18" s="79" t="s">
        <v>147</v>
      </c>
      <c r="AY18" s="71" t="s">
        <v>137</v>
      </c>
      <c r="BA18" s="77">
        <f>AU18+AV18</f>
        <v>0</v>
      </c>
      <c r="BB18" s="77">
        <f>G18/(100-BC18)*100</f>
        <v>0</v>
      </c>
      <c r="BC18" s="77">
        <v>0</v>
      </c>
      <c r="BD18" s="77">
        <f>L18</f>
        <v>0</v>
      </c>
      <c r="BF18" s="77">
        <f>F18*AM18</f>
        <v>0</v>
      </c>
      <c r="BG18" s="77">
        <f>F18*AN18</f>
        <v>0</v>
      </c>
      <c r="BH18" s="77">
        <f>F18*G18</f>
        <v>0</v>
      </c>
      <c r="BI18" s="77"/>
      <c r="BJ18" s="77">
        <v>13</v>
      </c>
      <c r="BU18" s="77" t="e">
        <f>#REF!</f>
        <v>#REF!</v>
      </c>
      <c r="BV18" s="70" t="s">
        <v>907</v>
      </c>
    </row>
    <row r="19" spans="1:74" ht="108" customHeight="1" x14ac:dyDescent="0.25">
      <c r="A19" s="104"/>
      <c r="B19" s="81" t="s">
        <v>138</v>
      </c>
      <c r="C19" s="303" t="s">
        <v>1116</v>
      </c>
      <c r="D19" s="304"/>
      <c r="E19" s="304"/>
      <c r="F19" s="304"/>
      <c r="G19" s="304"/>
      <c r="H19" s="304"/>
      <c r="I19" s="304"/>
      <c r="J19" s="304"/>
      <c r="K19" s="304"/>
      <c r="L19" s="304"/>
      <c r="M19" s="305"/>
    </row>
    <row r="20" spans="1:74" x14ac:dyDescent="0.25">
      <c r="A20" s="92" t="s">
        <v>153</v>
      </c>
      <c r="B20" s="69" t="s">
        <v>188</v>
      </c>
      <c r="C20" s="306" t="s">
        <v>909</v>
      </c>
      <c r="D20" s="307"/>
      <c r="E20" s="69" t="s">
        <v>177</v>
      </c>
      <c r="F20" s="77">
        <v>1.6</v>
      </c>
      <c r="G20" s="218">
        <v>0</v>
      </c>
      <c r="H20" s="77">
        <f>F20*AM20</f>
        <v>0</v>
      </c>
      <c r="I20" s="77">
        <f>F20*AN20</f>
        <v>0</v>
      </c>
      <c r="J20" s="77">
        <f>F20*G20</f>
        <v>0</v>
      </c>
      <c r="K20" s="77">
        <v>0</v>
      </c>
      <c r="L20" s="77">
        <f>F20*K20</f>
        <v>0</v>
      </c>
      <c r="M20" s="103" t="s">
        <v>35</v>
      </c>
      <c r="X20" s="77">
        <f>IF(AO20="5",BH20,0)</f>
        <v>0</v>
      </c>
      <c r="Z20" s="77">
        <f>IF(AO20="1",BF20,0)</f>
        <v>0</v>
      </c>
      <c r="AA20" s="77">
        <f>IF(AO20="1",BG20,0)</f>
        <v>0</v>
      </c>
      <c r="AB20" s="77">
        <f>IF(AO20="7",BF20,0)</f>
        <v>0</v>
      </c>
      <c r="AC20" s="77">
        <f>IF(AO20="7",BG20,0)</f>
        <v>0</v>
      </c>
      <c r="AD20" s="77">
        <f>IF(AO20="2",BF20,0)</f>
        <v>0</v>
      </c>
      <c r="AE20" s="77">
        <f>IF(AO20="2",BG20,0)</f>
        <v>0</v>
      </c>
      <c r="AF20" s="77">
        <f>IF(AO20="0",BH20,0)</f>
        <v>0</v>
      </c>
      <c r="AG20" s="71" t="s">
        <v>129</v>
      </c>
      <c r="AH20" s="77">
        <f>IF(AL20=0,J20,0)</f>
        <v>0</v>
      </c>
      <c r="AI20" s="77">
        <f>IF(AL20=15,J20,0)</f>
        <v>0</v>
      </c>
      <c r="AJ20" s="77">
        <f>IF(AL20=21,J20,0)</f>
        <v>0</v>
      </c>
      <c r="AL20" s="77">
        <v>15</v>
      </c>
      <c r="AM20" s="77">
        <f>G20*0</f>
        <v>0</v>
      </c>
      <c r="AN20" s="77">
        <f>G20*(1-0)</f>
        <v>0</v>
      </c>
      <c r="AO20" s="79" t="s">
        <v>132</v>
      </c>
      <c r="AT20" s="77">
        <f>AU20+AV20</f>
        <v>0</v>
      </c>
      <c r="AU20" s="77">
        <f>F20*AM20</f>
        <v>0</v>
      </c>
      <c r="AV20" s="77">
        <f>F20*AN20</f>
        <v>0</v>
      </c>
      <c r="AW20" s="79" t="s">
        <v>185</v>
      </c>
      <c r="AX20" s="79" t="s">
        <v>147</v>
      </c>
      <c r="AY20" s="71" t="s">
        <v>137</v>
      </c>
      <c r="BA20" s="77">
        <f>AU20+AV20</f>
        <v>0</v>
      </c>
      <c r="BB20" s="77">
        <f>G20/(100-BC20)*100</f>
        <v>0</v>
      </c>
      <c r="BC20" s="77">
        <v>0</v>
      </c>
      <c r="BD20" s="77">
        <f>L20</f>
        <v>0</v>
      </c>
      <c r="BF20" s="77">
        <f>F20*AM20</f>
        <v>0</v>
      </c>
      <c r="BG20" s="77">
        <f>F20*AN20</f>
        <v>0</v>
      </c>
      <c r="BH20" s="77">
        <f>F20*G20</f>
        <v>0</v>
      </c>
      <c r="BI20" s="77"/>
      <c r="BJ20" s="77">
        <v>13</v>
      </c>
      <c r="BU20" s="77" t="e">
        <f>#REF!</f>
        <v>#REF!</v>
      </c>
      <c r="BV20" s="70" t="s">
        <v>909</v>
      </c>
    </row>
    <row r="21" spans="1:74" ht="40.5" customHeight="1" x14ac:dyDescent="0.25">
      <c r="A21" s="104"/>
      <c r="B21" s="81" t="s">
        <v>138</v>
      </c>
      <c r="C21" s="303" t="s">
        <v>1117</v>
      </c>
      <c r="D21" s="304"/>
      <c r="E21" s="304"/>
      <c r="F21" s="304"/>
      <c r="G21" s="304"/>
      <c r="H21" s="304"/>
      <c r="I21" s="304"/>
      <c r="J21" s="304"/>
      <c r="K21" s="304"/>
      <c r="L21" s="304"/>
      <c r="M21" s="305"/>
    </row>
    <row r="22" spans="1:74" x14ac:dyDescent="0.25">
      <c r="A22" s="92" t="s">
        <v>158</v>
      </c>
      <c r="B22" s="69" t="s">
        <v>829</v>
      </c>
      <c r="C22" s="306" t="s">
        <v>830</v>
      </c>
      <c r="D22" s="307"/>
      <c r="E22" s="69" t="s">
        <v>177</v>
      </c>
      <c r="F22" s="77">
        <v>3.21</v>
      </c>
      <c r="G22" s="218">
        <v>0</v>
      </c>
      <c r="H22" s="77">
        <f>F22*AM22</f>
        <v>0</v>
      </c>
      <c r="I22" s="77">
        <f>F22*AN22</f>
        <v>0</v>
      </c>
      <c r="J22" s="77">
        <f>F22*G22</f>
        <v>0</v>
      </c>
      <c r="K22" s="77">
        <v>0</v>
      </c>
      <c r="L22" s="77">
        <f>F22*K22</f>
        <v>0</v>
      </c>
      <c r="M22" s="103" t="s">
        <v>35</v>
      </c>
      <c r="X22" s="77">
        <f>IF(AO22="5",BH22,0)</f>
        <v>0</v>
      </c>
      <c r="Z22" s="77">
        <f>IF(AO22="1",BF22,0)</f>
        <v>0</v>
      </c>
      <c r="AA22" s="77">
        <f>IF(AO22="1",BG22,0)</f>
        <v>0</v>
      </c>
      <c r="AB22" s="77">
        <f>IF(AO22="7",BF22,0)</f>
        <v>0</v>
      </c>
      <c r="AC22" s="77">
        <f>IF(AO22="7",BG22,0)</f>
        <v>0</v>
      </c>
      <c r="AD22" s="77">
        <f>IF(AO22="2",BF22,0)</f>
        <v>0</v>
      </c>
      <c r="AE22" s="77">
        <f>IF(AO22="2",BG22,0)</f>
        <v>0</v>
      </c>
      <c r="AF22" s="77">
        <f>IF(AO22="0",BH22,0)</f>
        <v>0</v>
      </c>
      <c r="AG22" s="71" t="s">
        <v>129</v>
      </c>
      <c r="AH22" s="77">
        <f>IF(AL22=0,J22,0)</f>
        <v>0</v>
      </c>
      <c r="AI22" s="77">
        <f>IF(AL22=15,J22,0)</f>
        <v>0</v>
      </c>
      <c r="AJ22" s="77">
        <f>IF(AL22=21,J22,0)</f>
        <v>0</v>
      </c>
      <c r="AL22" s="77">
        <v>15</v>
      </c>
      <c r="AM22" s="77">
        <f>G22*0</f>
        <v>0</v>
      </c>
      <c r="AN22" s="77">
        <f>G22*(1-0)</f>
        <v>0</v>
      </c>
      <c r="AO22" s="79" t="s">
        <v>132</v>
      </c>
      <c r="AT22" s="77">
        <f>AU22+AV22</f>
        <v>0</v>
      </c>
      <c r="AU22" s="77">
        <f>F22*AM22</f>
        <v>0</v>
      </c>
      <c r="AV22" s="77">
        <f>F22*AN22</f>
        <v>0</v>
      </c>
      <c r="AW22" s="79" t="s">
        <v>185</v>
      </c>
      <c r="AX22" s="79" t="s">
        <v>147</v>
      </c>
      <c r="AY22" s="71" t="s">
        <v>137</v>
      </c>
      <c r="BA22" s="77">
        <f>AU22+AV22</f>
        <v>0</v>
      </c>
      <c r="BB22" s="77">
        <f>G22/(100-BC22)*100</f>
        <v>0</v>
      </c>
      <c r="BC22" s="77">
        <v>0</v>
      </c>
      <c r="BD22" s="77">
        <f>L22</f>
        <v>0</v>
      </c>
      <c r="BF22" s="77">
        <f>F22*AM22</f>
        <v>0</v>
      </c>
      <c r="BG22" s="77">
        <f>F22*AN22</f>
        <v>0</v>
      </c>
      <c r="BH22" s="77">
        <f>F22*G22</f>
        <v>0</v>
      </c>
      <c r="BI22" s="77"/>
      <c r="BJ22" s="77">
        <v>13</v>
      </c>
      <c r="BU22" s="77" t="e">
        <f>#REF!</f>
        <v>#REF!</v>
      </c>
      <c r="BV22" s="70" t="s">
        <v>830</v>
      </c>
    </row>
    <row r="23" spans="1:74" ht="108" customHeight="1" thickBot="1" x14ac:dyDescent="0.3">
      <c r="A23" s="107"/>
      <c r="B23" s="108" t="s">
        <v>138</v>
      </c>
      <c r="C23" s="308" t="s">
        <v>1118</v>
      </c>
      <c r="D23" s="309"/>
      <c r="E23" s="309"/>
      <c r="F23" s="309"/>
      <c r="G23" s="309"/>
      <c r="H23" s="309"/>
      <c r="I23" s="309"/>
      <c r="J23" s="309"/>
      <c r="K23" s="309"/>
      <c r="L23" s="309"/>
      <c r="M23" s="310"/>
    </row>
    <row r="24" spans="1:74" x14ac:dyDescent="0.25">
      <c r="A24" s="122" t="s">
        <v>163</v>
      </c>
      <c r="B24" s="109" t="s">
        <v>194</v>
      </c>
      <c r="C24" s="312" t="s">
        <v>912</v>
      </c>
      <c r="D24" s="313"/>
      <c r="E24" s="109" t="s">
        <v>177</v>
      </c>
      <c r="F24" s="123">
        <v>0.8</v>
      </c>
      <c r="G24" s="219">
        <v>0</v>
      </c>
      <c r="H24" s="123">
        <f>F24*AM24</f>
        <v>0</v>
      </c>
      <c r="I24" s="123">
        <f>F24*AN24</f>
        <v>0</v>
      </c>
      <c r="J24" s="123">
        <f>F24*G24</f>
        <v>0</v>
      </c>
      <c r="K24" s="123">
        <v>0</v>
      </c>
      <c r="L24" s="123">
        <f>F24*K24</f>
        <v>0</v>
      </c>
      <c r="M24" s="124" t="s">
        <v>35</v>
      </c>
      <c r="X24" s="77">
        <f>IF(AO24="5",BH24,0)</f>
        <v>0</v>
      </c>
      <c r="Z24" s="77">
        <f>IF(AO24="1",BF24,0)</f>
        <v>0</v>
      </c>
      <c r="AA24" s="77">
        <f>IF(AO24="1",BG24,0)</f>
        <v>0</v>
      </c>
      <c r="AB24" s="77">
        <f>IF(AO24="7",BF24,0)</f>
        <v>0</v>
      </c>
      <c r="AC24" s="77">
        <f>IF(AO24="7",BG24,0)</f>
        <v>0</v>
      </c>
      <c r="AD24" s="77">
        <f>IF(AO24="2",BF24,0)</f>
        <v>0</v>
      </c>
      <c r="AE24" s="77">
        <f>IF(AO24="2",BG24,0)</f>
        <v>0</v>
      </c>
      <c r="AF24" s="77">
        <f>IF(AO24="0",BH24,0)</f>
        <v>0</v>
      </c>
      <c r="AG24" s="71" t="s">
        <v>129</v>
      </c>
      <c r="AH24" s="77">
        <f>IF(AL24=0,J24,0)</f>
        <v>0</v>
      </c>
      <c r="AI24" s="77">
        <f>IF(AL24=15,J24,0)</f>
        <v>0</v>
      </c>
      <c r="AJ24" s="77">
        <f>IF(AL24=21,J24,0)</f>
        <v>0</v>
      </c>
      <c r="AL24" s="77">
        <v>15</v>
      </c>
      <c r="AM24" s="77">
        <f>G24*0</f>
        <v>0</v>
      </c>
      <c r="AN24" s="77">
        <f>G24*(1-0)</f>
        <v>0</v>
      </c>
      <c r="AO24" s="79" t="s">
        <v>132</v>
      </c>
      <c r="AT24" s="77">
        <f>AU24+AV24</f>
        <v>0</v>
      </c>
      <c r="AU24" s="77">
        <f>F24*AM24</f>
        <v>0</v>
      </c>
      <c r="AV24" s="77">
        <f>F24*AN24</f>
        <v>0</v>
      </c>
      <c r="AW24" s="79" t="s">
        <v>185</v>
      </c>
      <c r="AX24" s="79" t="s">
        <v>147</v>
      </c>
      <c r="AY24" s="71" t="s">
        <v>137</v>
      </c>
      <c r="BA24" s="77">
        <f>AU24+AV24</f>
        <v>0</v>
      </c>
      <c r="BB24" s="77">
        <f>G24/(100-BC24)*100</f>
        <v>0</v>
      </c>
      <c r="BC24" s="77">
        <v>0</v>
      </c>
      <c r="BD24" s="77">
        <f>L24</f>
        <v>0</v>
      </c>
      <c r="BF24" s="77">
        <f>F24*AM24</f>
        <v>0</v>
      </c>
      <c r="BG24" s="77">
        <f>F24*AN24</f>
        <v>0</v>
      </c>
      <c r="BH24" s="77">
        <f>F24*G24</f>
        <v>0</v>
      </c>
      <c r="BI24" s="77"/>
      <c r="BJ24" s="77">
        <v>13</v>
      </c>
      <c r="BU24" s="77" t="e">
        <f>#REF!</f>
        <v>#REF!</v>
      </c>
      <c r="BV24" s="70" t="s">
        <v>912</v>
      </c>
    </row>
    <row r="25" spans="1:74" ht="40.5" customHeight="1" x14ac:dyDescent="0.25">
      <c r="A25" s="104"/>
      <c r="B25" s="81" t="s">
        <v>138</v>
      </c>
      <c r="C25" s="303" t="s">
        <v>1119</v>
      </c>
      <c r="D25" s="304"/>
      <c r="E25" s="304"/>
      <c r="F25" s="304"/>
      <c r="G25" s="304"/>
      <c r="H25" s="304"/>
      <c r="I25" s="304"/>
      <c r="J25" s="304"/>
      <c r="K25" s="304"/>
      <c r="L25" s="304"/>
      <c r="M25" s="305"/>
    </row>
    <row r="26" spans="1:74" x14ac:dyDescent="0.25">
      <c r="A26" s="105" t="s">
        <v>129</v>
      </c>
      <c r="B26" s="74" t="s">
        <v>204</v>
      </c>
      <c r="C26" s="314" t="s">
        <v>208</v>
      </c>
      <c r="D26" s="315"/>
      <c r="E26" s="75" t="s">
        <v>87</v>
      </c>
      <c r="F26" s="75" t="s">
        <v>87</v>
      </c>
      <c r="G26" s="75" t="s">
        <v>87</v>
      </c>
      <c r="H26" s="67">
        <f>SUM(H27:H29)</f>
        <v>0</v>
      </c>
      <c r="I26" s="67">
        <f>SUM(I27:I29)</f>
        <v>0</v>
      </c>
      <c r="J26" s="67">
        <f>SUM(J27:J29)</f>
        <v>0</v>
      </c>
      <c r="K26" s="71" t="s">
        <v>129</v>
      </c>
      <c r="L26" s="67">
        <f>SUM(L27:L29)</f>
        <v>8.2818000000000006E-3</v>
      </c>
      <c r="M26" s="106" t="s">
        <v>129</v>
      </c>
      <c r="AG26" s="71" t="s">
        <v>129</v>
      </c>
      <c r="AQ26" s="67">
        <f>SUM(AH27:AH29)</f>
        <v>0</v>
      </c>
      <c r="AR26" s="67">
        <f>SUM(AI27:AI29)</f>
        <v>0</v>
      </c>
      <c r="AS26" s="67">
        <f>SUM(AJ27:AJ29)</f>
        <v>0</v>
      </c>
    </row>
    <row r="27" spans="1:74" x14ac:dyDescent="0.25">
      <c r="A27" s="92" t="s">
        <v>168</v>
      </c>
      <c r="B27" s="69" t="s">
        <v>210</v>
      </c>
      <c r="C27" s="306" t="s">
        <v>211</v>
      </c>
      <c r="D27" s="307"/>
      <c r="E27" s="69" t="s">
        <v>166</v>
      </c>
      <c r="F27" s="77">
        <v>9.6300000000000008</v>
      </c>
      <c r="G27" s="218">
        <v>0</v>
      </c>
      <c r="H27" s="77">
        <f>F27*AM27</f>
        <v>0</v>
      </c>
      <c r="I27" s="77">
        <f>F27*AN27</f>
        <v>0</v>
      </c>
      <c r="J27" s="77">
        <f>F27*G27</f>
        <v>0</v>
      </c>
      <c r="K27" s="77">
        <v>8.5999999999999998E-4</v>
      </c>
      <c r="L27" s="77">
        <f>F27*K27</f>
        <v>8.2818000000000006E-3</v>
      </c>
      <c r="M27" s="103"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G27*0.088675329</f>
        <v>0</v>
      </c>
      <c r="AN27" s="77">
        <f>G27*(1-0.088675329)</f>
        <v>0</v>
      </c>
      <c r="AO27" s="79" t="s">
        <v>132</v>
      </c>
      <c r="AT27" s="77">
        <f>AU27+AV27</f>
        <v>0</v>
      </c>
      <c r="AU27" s="77">
        <f>F27*AM27</f>
        <v>0</v>
      </c>
      <c r="AV27" s="77">
        <f>F27*AN27</f>
        <v>0</v>
      </c>
      <c r="AW27" s="79" t="s">
        <v>212</v>
      </c>
      <c r="AX27" s="79" t="s">
        <v>147</v>
      </c>
      <c r="AY27" s="71" t="s">
        <v>137</v>
      </c>
      <c r="BA27" s="77">
        <f>AU27+AV27</f>
        <v>0</v>
      </c>
      <c r="BB27" s="77">
        <f>G27/(100-BC27)*100</f>
        <v>0</v>
      </c>
      <c r="BC27" s="77">
        <v>0</v>
      </c>
      <c r="BD27" s="77">
        <f>L27</f>
        <v>8.2818000000000006E-3</v>
      </c>
      <c r="BF27" s="77">
        <f>F27*AM27</f>
        <v>0</v>
      </c>
      <c r="BG27" s="77">
        <f>F27*AN27</f>
        <v>0</v>
      </c>
      <c r="BH27" s="77">
        <f>F27*G27</f>
        <v>0</v>
      </c>
      <c r="BI27" s="77"/>
      <c r="BJ27" s="77">
        <v>15</v>
      </c>
      <c r="BU27" s="77" t="e">
        <f>#REF!</f>
        <v>#REF!</v>
      </c>
      <c r="BV27" s="70" t="s">
        <v>211</v>
      </c>
    </row>
    <row r="28" spans="1:74" ht="40.5" customHeight="1" x14ac:dyDescent="0.25">
      <c r="A28" s="104"/>
      <c r="B28" s="81" t="s">
        <v>138</v>
      </c>
      <c r="C28" s="303" t="s">
        <v>1120</v>
      </c>
      <c r="D28" s="304"/>
      <c r="E28" s="304"/>
      <c r="F28" s="304"/>
      <c r="G28" s="304"/>
      <c r="H28" s="304"/>
      <c r="I28" s="304"/>
      <c r="J28" s="304"/>
      <c r="K28" s="304"/>
      <c r="L28" s="304"/>
      <c r="M28" s="305"/>
    </row>
    <row r="29" spans="1:74" x14ac:dyDescent="0.25">
      <c r="A29" s="92" t="s">
        <v>174</v>
      </c>
      <c r="B29" s="69" t="s">
        <v>215</v>
      </c>
      <c r="C29" s="306" t="s">
        <v>216</v>
      </c>
      <c r="D29" s="307"/>
      <c r="E29" s="69" t="s">
        <v>166</v>
      </c>
      <c r="F29" s="77">
        <v>9.6300000000000008</v>
      </c>
      <c r="G29" s="218">
        <v>0</v>
      </c>
      <c r="H29" s="77">
        <f>F29*AM29</f>
        <v>0</v>
      </c>
      <c r="I29" s="77">
        <f>F29*AN29</f>
        <v>0</v>
      </c>
      <c r="J29" s="77">
        <f>F29*G29</f>
        <v>0</v>
      </c>
      <c r="K29" s="77">
        <v>0</v>
      </c>
      <c r="L29" s="77">
        <f>F29*K29</f>
        <v>0</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212</v>
      </c>
      <c r="AX29" s="79" t="s">
        <v>147</v>
      </c>
      <c r="AY29" s="71" t="s">
        <v>137</v>
      </c>
      <c r="BA29" s="77">
        <f>AU29+AV29</f>
        <v>0</v>
      </c>
      <c r="BB29" s="77">
        <f>G29/(100-BC29)*100</f>
        <v>0</v>
      </c>
      <c r="BC29" s="77">
        <v>0</v>
      </c>
      <c r="BD29" s="77">
        <f>L29</f>
        <v>0</v>
      </c>
      <c r="BF29" s="77">
        <f>F29*AM29</f>
        <v>0</v>
      </c>
      <c r="BG29" s="77">
        <f>F29*AN29</f>
        <v>0</v>
      </c>
      <c r="BH29" s="77">
        <f>F29*G29</f>
        <v>0</v>
      </c>
      <c r="BI29" s="77"/>
      <c r="BJ29" s="77">
        <v>15</v>
      </c>
      <c r="BU29" s="77" t="e">
        <f>#REF!</f>
        <v>#REF!</v>
      </c>
      <c r="BV29" s="70" t="s">
        <v>216</v>
      </c>
    </row>
    <row r="30" spans="1:74" ht="40.5" customHeight="1" x14ac:dyDescent="0.25">
      <c r="A30" s="104"/>
      <c r="B30" s="81" t="s">
        <v>138</v>
      </c>
      <c r="C30" s="303" t="s">
        <v>1121</v>
      </c>
      <c r="D30" s="304"/>
      <c r="E30" s="304"/>
      <c r="F30" s="304"/>
      <c r="G30" s="304"/>
      <c r="H30" s="304"/>
      <c r="I30" s="304"/>
      <c r="J30" s="304"/>
      <c r="K30" s="304"/>
      <c r="L30" s="304"/>
      <c r="M30" s="305"/>
    </row>
    <row r="31" spans="1:74" x14ac:dyDescent="0.25">
      <c r="A31" s="105" t="s">
        <v>129</v>
      </c>
      <c r="B31" s="74" t="s">
        <v>209</v>
      </c>
      <c r="C31" s="314" t="s">
        <v>218</v>
      </c>
      <c r="D31" s="315"/>
      <c r="E31" s="75" t="s">
        <v>87</v>
      </c>
      <c r="F31" s="75" t="s">
        <v>87</v>
      </c>
      <c r="G31" s="75" t="s">
        <v>87</v>
      </c>
      <c r="H31" s="67">
        <f>SUM(H32:H38)</f>
        <v>0</v>
      </c>
      <c r="I31" s="67">
        <f>SUM(I32:I38)</f>
        <v>0</v>
      </c>
      <c r="J31" s="67">
        <f>SUM(J32:J38)</f>
        <v>0</v>
      </c>
      <c r="K31" s="71" t="s">
        <v>129</v>
      </c>
      <c r="L31" s="67">
        <f>SUM(L32:L38)</f>
        <v>0</v>
      </c>
      <c r="M31" s="106" t="s">
        <v>129</v>
      </c>
      <c r="AG31" s="71" t="s">
        <v>129</v>
      </c>
      <c r="AQ31" s="67">
        <f>SUM(AH32:AH38)</f>
        <v>0</v>
      </c>
      <c r="AR31" s="67">
        <f>SUM(AI32:AI38)</f>
        <v>0</v>
      </c>
      <c r="AS31" s="67">
        <f>SUM(AJ32:AJ38)</f>
        <v>0</v>
      </c>
    </row>
    <row r="32" spans="1:74" x14ac:dyDescent="0.25">
      <c r="A32" s="92" t="s">
        <v>182</v>
      </c>
      <c r="B32" s="69" t="s">
        <v>220</v>
      </c>
      <c r="C32" s="306" t="s">
        <v>221</v>
      </c>
      <c r="D32" s="307"/>
      <c r="E32" s="69" t="s">
        <v>177</v>
      </c>
      <c r="F32" s="77">
        <v>3.21</v>
      </c>
      <c r="G32" s="218">
        <v>0</v>
      </c>
      <c r="H32" s="77">
        <f>F32*AM32</f>
        <v>0</v>
      </c>
      <c r="I32" s="77">
        <f>F32*AN32</f>
        <v>0</v>
      </c>
      <c r="J32" s="77">
        <f>F32*G32</f>
        <v>0</v>
      </c>
      <c r="K32" s="77">
        <v>0</v>
      </c>
      <c r="L32" s="77">
        <f>F32*K32</f>
        <v>0</v>
      </c>
      <c r="M32" s="103" t="s">
        <v>35</v>
      </c>
      <c r="X32" s="77">
        <f>IF(AO32="5",BH32,0)</f>
        <v>0</v>
      </c>
      <c r="Z32" s="77">
        <f>IF(AO32="1",BF32,0)</f>
        <v>0</v>
      </c>
      <c r="AA32" s="77">
        <f>IF(AO32="1",BG32,0)</f>
        <v>0</v>
      </c>
      <c r="AB32" s="77">
        <f>IF(AO32="7",BF32,0)</f>
        <v>0</v>
      </c>
      <c r="AC32" s="77">
        <f>IF(AO32="7",BG32,0)</f>
        <v>0</v>
      </c>
      <c r="AD32" s="77">
        <f>IF(AO32="2",BF32,0)</f>
        <v>0</v>
      </c>
      <c r="AE32" s="77">
        <f>IF(AO32="2",BG32,0)</f>
        <v>0</v>
      </c>
      <c r="AF32" s="77">
        <f>IF(AO32="0",BH32,0)</f>
        <v>0</v>
      </c>
      <c r="AG32" s="71" t="s">
        <v>129</v>
      </c>
      <c r="AH32" s="77">
        <f>IF(AL32=0,J32,0)</f>
        <v>0</v>
      </c>
      <c r="AI32" s="77">
        <f>IF(AL32=15,J32,0)</f>
        <v>0</v>
      </c>
      <c r="AJ32" s="77">
        <f>IF(AL32=21,J32,0)</f>
        <v>0</v>
      </c>
      <c r="AL32" s="77">
        <v>15</v>
      </c>
      <c r="AM32" s="77">
        <f>G32*0</f>
        <v>0</v>
      </c>
      <c r="AN32" s="77">
        <f>G32*(1-0)</f>
        <v>0</v>
      </c>
      <c r="AO32" s="79" t="s">
        <v>132</v>
      </c>
      <c r="AT32" s="77">
        <f>AU32+AV32</f>
        <v>0</v>
      </c>
      <c r="AU32" s="77">
        <f>F32*AM32</f>
        <v>0</v>
      </c>
      <c r="AV32" s="77">
        <f>F32*AN32</f>
        <v>0</v>
      </c>
      <c r="AW32" s="79" t="s">
        <v>222</v>
      </c>
      <c r="AX32" s="79" t="s">
        <v>147</v>
      </c>
      <c r="AY32" s="71" t="s">
        <v>137</v>
      </c>
      <c r="BA32" s="77">
        <f>AU32+AV32</f>
        <v>0</v>
      </c>
      <c r="BB32" s="77">
        <f>G32/(100-BC32)*100</f>
        <v>0</v>
      </c>
      <c r="BC32" s="77">
        <v>0</v>
      </c>
      <c r="BD32" s="77">
        <f>L32</f>
        <v>0</v>
      </c>
      <c r="BF32" s="77">
        <f>F32*AM32</f>
        <v>0</v>
      </c>
      <c r="BG32" s="77">
        <f>F32*AN32</f>
        <v>0</v>
      </c>
      <c r="BH32" s="77">
        <f>F32*G32</f>
        <v>0</v>
      </c>
      <c r="BI32" s="77"/>
      <c r="BJ32" s="77">
        <v>16</v>
      </c>
      <c r="BU32" s="77" t="e">
        <f>#REF!</f>
        <v>#REF!</v>
      </c>
      <c r="BV32" s="70" t="s">
        <v>221</v>
      </c>
    </row>
    <row r="33" spans="1:74" ht="67.5" customHeight="1" x14ac:dyDescent="0.25">
      <c r="A33" s="104"/>
      <c r="B33" s="81" t="s">
        <v>138</v>
      </c>
      <c r="C33" s="303" t="s">
        <v>1122</v>
      </c>
      <c r="D33" s="304"/>
      <c r="E33" s="304"/>
      <c r="F33" s="304"/>
      <c r="G33" s="304"/>
      <c r="H33" s="304"/>
      <c r="I33" s="304"/>
      <c r="J33" s="304"/>
      <c r="K33" s="304"/>
      <c r="L33" s="304"/>
      <c r="M33" s="305"/>
    </row>
    <row r="34" spans="1:74" x14ac:dyDescent="0.25">
      <c r="A34" s="92" t="s">
        <v>187</v>
      </c>
      <c r="B34" s="69" t="s">
        <v>918</v>
      </c>
      <c r="C34" s="306" t="s">
        <v>230</v>
      </c>
      <c r="D34" s="307"/>
      <c r="E34" s="69" t="s">
        <v>177</v>
      </c>
      <c r="F34" s="77">
        <v>2.44</v>
      </c>
      <c r="G34" s="218">
        <v>0</v>
      </c>
      <c r="H34" s="77">
        <f>F34*AM34</f>
        <v>0</v>
      </c>
      <c r="I34" s="77">
        <f>F34*AN34</f>
        <v>0</v>
      </c>
      <c r="J34" s="77">
        <f>F34*G34</f>
        <v>0</v>
      </c>
      <c r="K34" s="77">
        <v>0</v>
      </c>
      <c r="L34" s="77">
        <f>F34*K34</f>
        <v>0</v>
      </c>
      <c r="M34" s="103" t="s">
        <v>35</v>
      </c>
      <c r="X34" s="77">
        <f>IF(AO34="5",BH34,0)</f>
        <v>0</v>
      </c>
      <c r="Z34" s="77">
        <f>IF(AO34="1",BF34,0)</f>
        <v>0</v>
      </c>
      <c r="AA34" s="77">
        <f>IF(AO34="1",BG34,0)</f>
        <v>0</v>
      </c>
      <c r="AB34" s="77">
        <f>IF(AO34="7",BF34,0)</f>
        <v>0</v>
      </c>
      <c r="AC34" s="77">
        <f>IF(AO34="7",BG34,0)</f>
        <v>0</v>
      </c>
      <c r="AD34" s="77">
        <f>IF(AO34="2",BF34,0)</f>
        <v>0</v>
      </c>
      <c r="AE34" s="77">
        <f>IF(AO34="2",BG34,0)</f>
        <v>0</v>
      </c>
      <c r="AF34" s="77">
        <f>IF(AO34="0",BH34,0)</f>
        <v>0</v>
      </c>
      <c r="AG34" s="71" t="s">
        <v>129</v>
      </c>
      <c r="AH34" s="77">
        <f>IF(AL34=0,J34,0)</f>
        <v>0</v>
      </c>
      <c r="AI34" s="77">
        <f>IF(AL34=15,J34,0)</f>
        <v>0</v>
      </c>
      <c r="AJ34" s="77">
        <f>IF(AL34=21,J34,0)</f>
        <v>0</v>
      </c>
      <c r="AL34" s="77">
        <v>15</v>
      </c>
      <c r="AM34" s="77">
        <f>G34*0</f>
        <v>0</v>
      </c>
      <c r="AN34" s="77">
        <f>G34*(1-0)</f>
        <v>0</v>
      </c>
      <c r="AO34" s="79" t="s">
        <v>132</v>
      </c>
      <c r="AT34" s="77">
        <f>AU34+AV34</f>
        <v>0</v>
      </c>
      <c r="AU34" s="77">
        <f>F34*AM34</f>
        <v>0</v>
      </c>
      <c r="AV34" s="77">
        <f>F34*AN34</f>
        <v>0</v>
      </c>
      <c r="AW34" s="79" t="s">
        <v>222</v>
      </c>
      <c r="AX34" s="79" t="s">
        <v>147</v>
      </c>
      <c r="AY34" s="71" t="s">
        <v>137</v>
      </c>
      <c r="BA34" s="77">
        <f>AU34+AV34</f>
        <v>0</v>
      </c>
      <c r="BB34" s="77">
        <f>G34/(100-BC34)*100</f>
        <v>0</v>
      </c>
      <c r="BC34" s="77">
        <v>0</v>
      </c>
      <c r="BD34" s="77">
        <f>L34</f>
        <v>0</v>
      </c>
      <c r="BF34" s="77">
        <f>F34*AM34</f>
        <v>0</v>
      </c>
      <c r="BG34" s="77">
        <f>F34*AN34</f>
        <v>0</v>
      </c>
      <c r="BH34" s="77">
        <f>F34*G34</f>
        <v>0</v>
      </c>
      <c r="BI34" s="77"/>
      <c r="BJ34" s="77">
        <v>16</v>
      </c>
      <c r="BU34" s="77" t="e">
        <f>#REF!</f>
        <v>#REF!</v>
      </c>
      <c r="BV34" s="70" t="s">
        <v>230</v>
      </c>
    </row>
    <row r="35" spans="1:74" ht="67.5" customHeight="1" x14ac:dyDescent="0.25">
      <c r="A35" s="104"/>
      <c r="B35" s="81" t="s">
        <v>138</v>
      </c>
      <c r="C35" s="303" t="s">
        <v>1123</v>
      </c>
      <c r="D35" s="304"/>
      <c r="E35" s="304"/>
      <c r="F35" s="304"/>
      <c r="G35" s="304"/>
      <c r="H35" s="304"/>
      <c r="I35" s="304"/>
      <c r="J35" s="304"/>
      <c r="K35" s="304"/>
      <c r="L35" s="304"/>
      <c r="M35" s="305"/>
    </row>
    <row r="36" spans="1:74" x14ac:dyDescent="0.25">
      <c r="A36" s="92" t="s">
        <v>140</v>
      </c>
      <c r="B36" s="69" t="s">
        <v>840</v>
      </c>
      <c r="C36" s="306" t="s">
        <v>969</v>
      </c>
      <c r="D36" s="307"/>
      <c r="E36" s="69" t="s">
        <v>177</v>
      </c>
      <c r="F36" s="77">
        <v>7.96</v>
      </c>
      <c r="G36" s="218">
        <v>0</v>
      </c>
      <c r="H36" s="77">
        <f>F36*AM36</f>
        <v>0</v>
      </c>
      <c r="I36" s="77">
        <f>F36*AN36</f>
        <v>0</v>
      </c>
      <c r="J36" s="77">
        <f>F36*G36</f>
        <v>0</v>
      </c>
      <c r="K36" s="77">
        <v>0</v>
      </c>
      <c r="L36" s="77">
        <f>F36*K36</f>
        <v>0</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f>
        <v>0</v>
      </c>
      <c r="AN36" s="77">
        <f>G36*(1-0)</f>
        <v>0</v>
      </c>
      <c r="AO36" s="79" t="s">
        <v>132</v>
      </c>
      <c r="AT36" s="77">
        <f>AU36+AV36</f>
        <v>0</v>
      </c>
      <c r="AU36" s="77">
        <f>F36*AM36</f>
        <v>0</v>
      </c>
      <c r="AV36" s="77">
        <f>F36*AN36</f>
        <v>0</v>
      </c>
      <c r="AW36" s="79" t="s">
        <v>222</v>
      </c>
      <c r="AX36" s="79" t="s">
        <v>147</v>
      </c>
      <c r="AY36" s="71" t="s">
        <v>137</v>
      </c>
      <c r="BA36" s="77">
        <f>AU36+AV36</f>
        <v>0</v>
      </c>
      <c r="BB36" s="77">
        <f>G36/(100-BC36)*100</f>
        <v>0</v>
      </c>
      <c r="BC36" s="77">
        <v>0</v>
      </c>
      <c r="BD36" s="77">
        <f>L36</f>
        <v>0</v>
      </c>
      <c r="BF36" s="77">
        <f>F36*AM36</f>
        <v>0</v>
      </c>
      <c r="BG36" s="77">
        <f>F36*AN36</f>
        <v>0</v>
      </c>
      <c r="BH36" s="77">
        <f>F36*G36</f>
        <v>0</v>
      </c>
      <c r="BI36" s="77"/>
      <c r="BJ36" s="77">
        <v>16</v>
      </c>
      <c r="BU36" s="77" t="e">
        <f>#REF!</f>
        <v>#REF!</v>
      </c>
      <c r="BV36" s="70" t="s">
        <v>969</v>
      </c>
    </row>
    <row r="37" spans="1:74" ht="40.5" customHeight="1" x14ac:dyDescent="0.25">
      <c r="A37" s="104"/>
      <c r="B37" s="81" t="s">
        <v>138</v>
      </c>
      <c r="C37" s="303" t="s">
        <v>1124</v>
      </c>
      <c r="D37" s="304"/>
      <c r="E37" s="304"/>
      <c r="F37" s="304"/>
      <c r="G37" s="304"/>
      <c r="H37" s="304"/>
      <c r="I37" s="304"/>
      <c r="J37" s="304"/>
      <c r="K37" s="304"/>
      <c r="L37" s="304"/>
      <c r="M37" s="305"/>
    </row>
    <row r="38" spans="1:74" x14ac:dyDescent="0.25">
      <c r="A38" s="92" t="s">
        <v>172</v>
      </c>
      <c r="B38" s="69" t="s">
        <v>241</v>
      </c>
      <c r="C38" s="306" t="s">
        <v>242</v>
      </c>
      <c r="D38" s="307"/>
      <c r="E38" s="69" t="s">
        <v>177</v>
      </c>
      <c r="F38" s="77">
        <v>7.96</v>
      </c>
      <c r="G38" s="218">
        <v>0</v>
      </c>
      <c r="H38" s="77">
        <f>F38*AM38</f>
        <v>0</v>
      </c>
      <c r="I38" s="77">
        <f>F38*AN38</f>
        <v>0</v>
      </c>
      <c r="J38" s="77">
        <f>F38*G38</f>
        <v>0</v>
      </c>
      <c r="K38" s="77">
        <v>0</v>
      </c>
      <c r="L38" s="77">
        <f>F38*K38</f>
        <v>0</v>
      </c>
      <c r="M38" s="103" t="s">
        <v>35</v>
      </c>
      <c r="X38" s="77">
        <f>IF(AO38="5",BH38,0)</f>
        <v>0</v>
      </c>
      <c r="Z38" s="77">
        <f>IF(AO38="1",BF38,0)</f>
        <v>0</v>
      </c>
      <c r="AA38" s="77">
        <f>IF(AO38="1",BG38,0)</f>
        <v>0</v>
      </c>
      <c r="AB38" s="77">
        <f>IF(AO38="7",BF38,0)</f>
        <v>0</v>
      </c>
      <c r="AC38" s="77">
        <f>IF(AO38="7",BG38,0)</f>
        <v>0</v>
      </c>
      <c r="AD38" s="77">
        <f>IF(AO38="2",BF38,0)</f>
        <v>0</v>
      </c>
      <c r="AE38" s="77">
        <f>IF(AO38="2",BG38,0)</f>
        <v>0</v>
      </c>
      <c r="AF38" s="77">
        <f>IF(AO38="0",BH38,0)</f>
        <v>0</v>
      </c>
      <c r="AG38" s="71" t="s">
        <v>129</v>
      </c>
      <c r="AH38" s="77">
        <f>IF(AL38=0,J38,0)</f>
        <v>0</v>
      </c>
      <c r="AI38" s="77">
        <f>IF(AL38=15,J38,0)</f>
        <v>0</v>
      </c>
      <c r="AJ38" s="77">
        <f>IF(AL38=21,J38,0)</f>
        <v>0</v>
      </c>
      <c r="AL38" s="77">
        <v>15</v>
      </c>
      <c r="AM38" s="77">
        <f>G38*0</f>
        <v>0</v>
      </c>
      <c r="AN38" s="77">
        <f>G38*(1-0)</f>
        <v>0</v>
      </c>
      <c r="AO38" s="79" t="s">
        <v>132</v>
      </c>
      <c r="AT38" s="77">
        <f>AU38+AV38</f>
        <v>0</v>
      </c>
      <c r="AU38" s="77">
        <f>F38*AM38</f>
        <v>0</v>
      </c>
      <c r="AV38" s="77">
        <f>F38*AN38</f>
        <v>0</v>
      </c>
      <c r="AW38" s="79" t="s">
        <v>222</v>
      </c>
      <c r="AX38" s="79" t="s">
        <v>147</v>
      </c>
      <c r="AY38" s="71" t="s">
        <v>137</v>
      </c>
      <c r="BA38" s="77">
        <f>AU38+AV38</f>
        <v>0</v>
      </c>
      <c r="BB38" s="77">
        <f>G38/(100-BC38)*100</f>
        <v>0</v>
      </c>
      <c r="BC38" s="77">
        <v>0</v>
      </c>
      <c r="BD38" s="77">
        <f>L38</f>
        <v>0</v>
      </c>
      <c r="BF38" s="77">
        <f>F38*AM38</f>
        <v>0</v>
      </c>
      <c r="BG38" s="77">
        <f>F38*AN38</f>
        <v>0</v>
      </c>
      <c r="BH38" s="77">
        <f>F38*G38</f>
        <v>0</v>
      </c>
      <c r="BI38" s="77"/>
      <c r="BJ38" s="77">
        <v>16</v>
      </c>
      <c r="BU38" s="77" t="e">
        <f>#REF!</f>
        <v>#REF!</v>
      </c>
      <c r="BV38" s="70" t="s">
        <v>242</v>
      </c>
    </row>
    <row r="39" spans="1:74" ht="40.5" customHeight="1" x14ac:dyDescent="0.25">
      <c r="A39" s="104"/>
      <c r="B39" s="81" t="s">
        <v>138</v>
      </c>
      <c r="C39" s="303" t="s">
        <v>1125</v>
      </c>
      <c r="D39" s="304"/>
      <c r="E39" s="304"/>
      <c r="F39" s="304"/>
      <c r="G39" s="304"/>
      <c r="H39" s="304"/>
      <c r="I39" s="304"/>
      <c r="J39" s="304"/>
      <c r="K39" s="304"/>
      <c r="L39" s="304"/>
      <c r="M39" s="305"/>
    </row>
    <row r="40" spans="1:74" x14ac:dyDescent="0.25">
      <c r="A40" s="105" t="s">
        <v>129</v>
      </c>
      <c r="B40" s="74" t="s">
        <v>214</v>
      </c>
      <c r="C40" s="314" t="s">
        <v>244</v>
      </c>
      <c r="D40" s="315"/>
      <c r="E40" s="75" t="s">
        <v>87</v>
      </c>
      <c r="F40" s="75" t="s">
        <v>87</v>
      </c>
      <c r="G40" s="75" t="s">
        <v>87</v>
      </c>
      <c r="H40" s="67">
        <f>SUM(H41:H45)</f>
        <v>0</v>
      </c>
      <c r="I40" s="67">
        <f>SUM(I41:I45)</f>
        <v>0</v>
      </c>
      <c r="J40" s="67">
        <f>SUM(J41:J45)</f>
        <v>0</v>
      </c>
      <c r="K40" s="71" t="s">
        <v>129</v>
      </c>
      <c r="L40" s="67">
        <f>SUM(L41:L45)</f>
        <v>2.9409999999999998</v>
      </c>
      <c r="M40" s="106" t="s">
        <v>129</v>
      </c>
      <c r="AG40" s="71" t="s">
        <v>129</v>
      </c>
      <c r="AQ40" s="67">
        <f>SUM(AH41:AH45)</f>
        <v>0</v>
      </c>
      <c r="AR40" s="67">
        <f>SUM(AI41:AI45)</f>
        <v>0</v>
      </c>
      <c r="AS40" s="67">
        <f>SUM(AJ41:AJ45)</f>
        <v>0</v>
      </c>
    </row>
    <row r="41" spans="1:74" x14ac:dyDescent="0.25">
      <c r="A41" s="92" t="s">
        <v>180</v>
      </c>
      <c r="B41" s="69" t="s">
        <v>246</v>
      </c>
      <c r="C41" s="306" t="s">
        <v>247</v>
      </c>
      <c r="D41" s="307"/>
      <c r="E41" s="69" t="s">
        <v>177</v>
      </c>
      <c r="F41" s="77">
        <v>1.73</v>
      </c>
      <c r="G41" s="218">
        <v>0</v>
      </c>
      <c r="H41" s="77">
        <f>F41*AM41</f>
        <v>0</v>
      </c>
      <c r="I41" s="77">
        <f>F41*AN41</f>
        <v>0</v>
      </c>
      <c r="J41" s="77">
        <f>F41*G41</f>
        <v>0</v>
      </c>
      <c r="K41" s="77">
        <v>1.7</v>
      </c>
      <c r="L41" s="77">
        <f>F41*K41</f>
        <v>2.9409999999999998</v>
      </c>
      <c r="M41" s="103" t="s">
        <v>35</v>
      </c>
      <c r="X41" s="77">
        <f>IF(AO41="5",BH41,0)</f>
        <v>0</v>
      </c>
      <c r="Z41" s="77">
        <f>IF(AO41="1",BF41,0)</f>
        <v>0</v>
      </c>
      <c r="AA41" s="77">
        <f>IF(AO41="1",BG41,0)</f>
        <v>0</v>
      </c>
      <c r="AB41" s="77">
        <f>IF(AO41="7",BF41,0)</f>
        <v>0</v>
      </c>
      <c r="AC41" s="77">
        <f>IF(AO41="7",BG41,0)</f>
        <v>0</v>
      </c>
      <c r="AD41" s="77">
        <f>IF(AO41="2",BF41,0)</f>
        <v>0</v>
      </c>
      <c r="AE41" s="77">
        <f>IF(AO41="2",BG41,0)</f>
        <v>0</v>
      </c>
      <c r="AF41" s="77">
        <f>IF(AO41="0",BH41,0)</f>
        <v>0</v>
      </c>
      <c r="AG41" s="71" t="s">
        <v>129</v>
      </c>
      <c r="AH41" s="77">
        <f>IF(AL41=0,J41,0)</f>
        <v>0</v>
      </c>
      <c r="AI41" s="77">
        <f>IF(AL41=15,J41,0)</f>
        <v>0</v>
      </c>
      <c r="AJ41" s="77">
        <f>IF(AL41=21,J41,0)</f>
        <v>0</v>
      </c>
      <c r="AL41" s="77">
        <v>15</v>
      </c>
      <c r="AM41" s="77">
        <f>G41*0.512974249</f>
        <v>0</v>
      </c>
      <c r="AN41" s="77">
        <f>G41*(1-0.512974249)</f>
        <v>0</v>
      </c>
      <c r="AO41" s="79" t="s">
        <v>132</v>
      </c>
      <c r="AT41" s="77">
        <f>AU41+AV41</f>
        <v>0</v>
      </c>
      <c r="AU41" s="77">
        <f>F41*AM41</f>
        <v>0</v>
      </c>
      <c r="AV41" s="77">
        <f>F41*AN41</f>
        <v>0</v>
      </c>
      <c r="AW41" s="79" t="s">
        <v>248</v>
      </c>
      <c r="AX41" s="79" t="s">
        <v>147</v>
      </c>
      <c r="AY41" s="71" t="s">
        <v>137</v>
      </c>
      <c r="BA41" s="77">
        <f>AU41+AV41</f>
        <v>0</v>
      </c>
      <c r="BB41" s="77">
        <f>G41/(100-BC41)*100</f>
        <v>0</v>
      </c>
      <c r="BC41" s="77">
        <v>0</v>
      </c>
      <c r="BD41" s="77">
        <f>L41</f>
        <v>2.9409999999999998</v>
      </c>
      <c r="BF41" s="77">
        <f>F41*AM41</f>
        <v>0</v>
      </c>
      <c r="BG41" s="77">
        <f>F41*AN41</f>
        <v>0</v>
      </c>
      <c r="BH41" s="77">
        <f>F41*G41</f>
        <v>0</v>
      </c>
      <c r="BI41" s="77"/>
      <c r="BJ41" s="77">
        <v>17</v>
      </c>
      <c r="BU41" s="77" t="e">
        <f>#REF!</f>
        <v>#REF!</v>
      </c>
      <c r="BV41" s="70" t="s">
        <v>247</v>
      </c>
    </row>
    <row r="42" spans="1:74" ht="54" customHeight="1" x14ac:dyDescent="0.25">
      <c r="A42" s="104"/>
      <c r="B42" s="81" t="s">
        <v>138</v>
      </c>
      <c r="C42" s="303" t="s">
        <v>1126</v>
      </c>
      <c r="D42" s="304"/>
      <c r="E42" s="304"/>
      <c r="F42" s="304"/>
      <c r="G42" s="304"/>
      <c r="H42" s="304"/>
      <c r="I42" s="304"/>
      <c r="J42" s="304"/>
      <c r="K42" s="304"/>
      <c r="L42" s="304"/>
      <c r="M42" s="305"/>
    </row>
    <row r="43" spans="1:74" x14ac:dyDescent="0.25">
      <c r="A43" s="92" t="s">
        <v>200</v>
      </c>
      <c r="B43" s="69" t="s">
        <v>251</v>
      </c>
      <c r="C43" s="306" t="s">
        <v>252</v>
      </c>
      <c r="D43" s="307"/>
      <c r="E43" s="69" t="s">
        <v>177</v>
      </c>
      <c r="F43" s="77">
        <v>1.73</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15</v>
      </c>
      <c r="AM43" s="77">
        <f>G43*0</f>
        <v>0</v>
      </c>
      <c r="AN43" s="77">
        <f>G43*(1-0)</f>
        <v>0</v>
      </c>
      <c r="AO43" s="79" t="s">
        <v>132</v>
      </c>
      <c r="AT43" s="77">
        <f>AU43+AV43</f>
        <v>0</v>
      </c>
      <c r="AU43" s="77">
        <f>F43*AM43</f>
        <v>0</v>
      </c>
      <c r="AV43" s="77">
        <f>F43*AN43</f>
        <v>0</v>
      </c>
      <c r="AW43" s="79" t="s">
        <v>248</v>
      </c>
      <c r="AX43" s="79" t="s">
        <v>147</v>
      </c>
      <c r="AY43" s="71" t="s">
        <v>137</v>
      </c>
      <c r="BA43" s="77">
        <f>AU43+AV43</f>
        <v>0</v>
      </c>
      <c r="BB43" s="77">
        <f>G43/(100-BC43)*100</f>
        <v>0</v>
      </c>
      <c r="BC43" s="77">
        <v>0</v>
      </c>
      <c r="BD43" s="77">
        <f>L43</f>
        <v>0</v>
      </c>
      <c r="BF43" s="77">
        <f>F43*AM43</f>
        <v>0</v>
      </c>
      <c r="BG43" s="77">
        <f>F43*AN43</f>
        <v>0</v>
      </c>
      <c r="BH43" s="77">
        <f>F43*G43</f>
        <v>0</v>
      </c>
      <c r="BI43" s="77"/>
      <c r="BJ43" s="77">
        <v>17</v>
      </c>
      <c r="BU43" s="77" t="e">
        <f>#REF!</f>
        <v>#REF!</v>
      </c>
      <c r="BV43" s="70" t="s">
        <v>252</v>
      </c>
    </row>
    <row r="44" spans="1:74" ht="40.5" customHeight="1" x14ac:dyDescent="0.25">
      <c r="A44" s="104"/>
      <c r="B44" s="81" t="s">
        <v>138</v>
      </c>
      <c r="C44" s="303" t="s">
        <v>1127</v>
      </c>
      <c r="D44" s="304"/>
      <c r="E44" s="304"/>
      <c r="F44" s="304"/>
      <c r="G44" s="304"/>
      <c r="H44" s="304"/>
      <c r="I44" s="304"/>
      <c r="J44" s="304"/>
      <c r="K44" s="304"/>
      <c r="L44" s="304"/>
      <c r="M44" s="305"/>
    </row>
    <row r="45" spans="1:74" x14ac:dyDescent="0.25">
      <c r="A45" s="92" t="s">
        <v>204</v>
      </c>
      <c r="B45" s="69" t="s">
        <v>254</v>
      </c>
      <c r="C45" s="306" t="s">
        <v>255</v>
      </c>
      <c r="D45" s="307"/>
      <c r="E45" s="69" t="s">
        <v>177</v>
      </c>
      <c r="F45" s="77">
        <v>3.98</v>
      </c>
      <c r="G45" s="218">
        <v>0</v>
      </c>
      <c r="H45" s="77">
        <f>F45*AM45</f>
        <v>0</v>
      </c>
      <c r="I45" s="77">
        <f>F45*AN45</f>
        <v>0</v>
      </c>
      <c r="J45" s="77">
        <f>F45*G45</f>
        <v>0</v>
      </c>
      <c r="K45" s="77">
        <v>0</v>
      </c>
      <c r="L45" s="77">
        <f>F45*K45</f>
        <v>0</v>
      </c>
      <c r="M45" s="103" t="s">
        <v>35</v>
      </c>
      <c r="X45" s="77">
        <f>IF(AO45="5",BH45,0)</f>
        <v>0</v>
      </c>
      <c r="Z45" s="77">
        <f>IF(AO45="1",BF45,0)</f>
        <v>0</v>
      </c>
      <c r="AA45" s="77">
        <f>IF(AO45="1",BG45,0)</f>
        <v>0</v>
      </c>
      <c r="AB45" s="77">
        <f>IF(AO45="7",BF45,0)</f>
        <v>0</v>
      </c>
      <c r="AC45" s="77">
        <f>IF(AO45="7",BG45,0)</f>
        <v>0</v>
      </c>
      <c r="AD45" s="77">
        <f>IF(AO45="2",BF45,0)</f>
        <v>0</v>
      </c>
      <c r="AE45" s="77">
        <f>IF(AO45="2",BG45,0)</f>
        <v>0</v>
      </c>
      <c r="AF45" s="77">
        <f>IF(AO45="0",BH45,0)</f>
        <v>0</v>
      </c>
      <c r="AG45" s="71" t="s">
        <v>129</v>
      </c>
      <c r="AH45" s="77">
        <f>IF(AL45=0,J45,0)</f>
        <v>0</v>
      </c>
      <c r="AI45" s="77">
        <f>IF(AL45=15,J45,0)</f>
        <v>0</v>
      </c>
      <c r="AJ45" s="77">
        <f>IF(AL45=21,J45,0)</f>
        <v>0</v>
      </c>
      <c r="AL45" s="77">
        <v>15</v>
      </c>
      <c r="AM45" s="77">
        <f>G45*0</f>
        <v>0</v>
      </c>
      <c r="AN45" s="77">
        <f>G45*(1-0)</f>
        <v>0</v>
      </c>
      <c r="AO45" s="79" t="s">
        <v>132</v>
      </c>
      <c r="AT45" s="77">
        <f>AU45+AV45</f>
        <v>0</v>
      </c>
      <c r="AU45" s="77">
        <f>F45*AM45</f>
        <v>0</v>
      </c>
      <c r="AV45" s="77">
        <f>F45*AN45</f>
        <v>0</v>
      </c>
      <c r="AW45" s="79" t="s">
        <v>248</v>
      </c>
      <c r="AX45" s="79" t="s">
        <v>147</v>
      </c>
      <c r="AY45" s="71" t="s">
        <v>137</v>
      </c>
      <c r="BA45" s="77">
        <f>AU45+AV45</f>
        <v>0</v>
      </c>
      <c r="BB45" s="77">
        <f>G45/(100-BC45)*100</f>
        <v>0</v>
      </c>
      <c r="BC45" s="77">
        <v>0</v>
      </c>
      <c r="BD45" s="77">
        <f>L45</f>
        <v>0</v>
      </c>
      <c r="BF45" s="77">
        <f>F45*AM45</f>
        <v>0</v>
      </c>
      <c r="BG45" s="77">
        <f>F45*AN45</f>
        <v>0</v>
      </c>
      <c r="BH45" s="77">
        <f>F45*G45</f>
        <v>0</v>
      </c>
      <c r="BI45" s="77"/>
      <c r="BJ45" s="77">
        <v>17</v>
      </c>
      <c r="BU45" s="77" t="e">
        <f>#REF!</f>
        <v>#REF!</v>
      </c>
      <c r="BV45" s="70" t="s">
        <v>255</v>
      </c>
    </row>
    <row r="46" spans="1:74" ht="81" customHeight="1" x14ac:dyDescent="0.25">
      <c r="A46" s="104"/>
      <c r="B46" s="81" t="s">
        <v>138</v>
      </c>
      <c r="C46" s="303" t="s">
        <v>1128</v>
      </c>
      <c r="D46" s="304"/>
      <c r="E46" s="304"/>
      <c r="F46" s="304"/>
      <c r="G46" s="304"/>
      <c r="H46" s="304"/>
      <c r="I46" s="304"/>
      <c r="J46" s="304"/>
      <c r="K46" s="304"/>
      <c r="L46" s="304"/>
      <c r="M46" s="305"/>
    </row>
    <row r="47" spans="1:74" x14ac:dyDescent="0.25">
      <c r="A47" s="105" t="s">
        <v>129</v>
      </c>
      <c r="B47" s="74" t="s">
        <v>224</v>
      </c>
      <c r="C47" s="314" t="s">
        <v>257</v>
      </c>
      <c r="D47" s="315"/>
      <c r="E47" s="75" t="s">
        <v>87</v>
      </c>
      <c r="F47" s="75" t="s">
        <v>87</v>
      </c>
      <c r="G47" s="75" t="s">
        <v>87</v>
      </c>
      <c r="H47" s="67">
        <f>SUM(H48:H48)</f>
        <v>0</v>
      </c>
      <c r="I47" s="67">
        <f>SUM(I48:I48)</f>
        <v>0</v>
      </c>
      <c r="J47" s="67">
        <f>SUM(J48:J48)</f>
        <v>0</v>
      </c>
      <c r="K47" s="71" t="s">
        <v>129</v>
      </c>
      <c r="L47" s="67">
        <f>SUM(L48:L48)</f>
        <v>0</v>
      </c>
      <c r="M47" s="106" t="s">
        <v>129</v>
      </c>
      <c r="AG47" s="71" t="s">
        <v>129</v>
      </c>
      <c r="AQ47" s="67">
        <f>SUM(AH48:AH48)</f>
        <v>0</v>
      </c>
      <c r="AR47" s="67">
        <f>SUM(AI48:AI48)</f>
        <v>0</v>
      </c>
      <c r="AS47" s="67">
        <f>SUM(AJ48:AJ48)</f>
        <v>0</v>
      </c>
    </row>
    <row r="48" spans="1:74" x14ac:dyDescent="0.25">
      <c r="A48" s="92" t="s">
        <v>209</v>
      </c>
      <c r="B48" s="69" t="s">
        <v>259</v>
      </c>
      <c r="C48" s="306" t="s">
        <v>260</v>
      </c>
      <c r="D48" s="307"/>
      <c r="E48" s="69" t="s">
        <v>177</v>
      </c>
      <c r="F48" s="77">
        <v>2.44</v>
      </c>
      <c r="G48" s="218">
        <v>0</v>
      </c>
      <c r="H48" s="77">
        <f>F48*AM48</f>
        <v>0</v>
      </c>
      <c r="I48" s="77">
        <f>F48*AN48</f>
        <v>0</v>
      </c>
      <c r="J48" s="77">
        <f>F48*G48</f>
        <v>0</v>
      </c>
      <c r="K48" s="77">
        <v>0</v>
      </c>
      <c r="L48" s="77">
        <f>F48*K48</f>
        <v>0</v>
      </c>
      <c r="M48" s="103" t="s">
        <v>35</v>
      </c>
      <c r="X48" s="77">
        <f>IF(AO48="5",BH48,0)</f>
        <v>0</v>
      </c>
      <c r="Z48" s="77">
        <f>IF(AO48="1",BF48,0)</f>
        <v>0</v>
      </c>
      <c r="AA48" s="77">
        <f>IF(AO48="1",BG48,0)</f>
        <v>0</v>
      </c>
      <c r="AB48" s="77">
        <f>IF(AO48="7",BF48,0)</f>
        <v>0</v>
      </c>
      <c r="AC48" s="77">
        <f>IF(AO48="7",BG48,0)</f>
        <v>0</v>
      </c>
      <c r="AD48" s="77">
        <f>IF(AO48="2",BF48,0)</f>
        <v>0</v>
      </c>
      <c r="AE48" s="77">
        <f>IF(AO48="2",BG48,0)</f>
        <v>0</v>
      </c>
      <c r="AF48" s="77">
        <f>IF(AO48="0",BH48,0)</f>
        <v>0</v>
      </c>
      <c r="AG48" s="71" t="s">
        <v>129</v>
      </c>
      <c r="AH48" s="77">
        <f>IF(AL48=0,J48,0)</f>
        <v>0</v>
      </c>
      <c r="AI48" s="77">
        <f>IF(AL48=15,J48,0)</f>
        <v>0</v>
      </c>
      <c r="AJ48" s="77">
        <f>IF(AL48=21,J48,0)</f>
        <v>0</v>
      </c>
      <c r="AL48" s="77">
        <v>15</v>
      </c>
      <c r="AM48" s="77">
        <f>G48*0</f>
        <v>0</v>
      </c>
      <c r="AN48" s="77">
        <f>G48*(1-0)</f>
        <v>0</v>
      </c>
      <c r="AO48" s="79" t="s">
        <v>132</v>
      </c>
      <c r="AT48" s="77">
        <f>AU48+AV48</f>
        <v>0</v>
      </c>
      <c r="AU48" s="77">
        <f>F48*AM48</f>
        <v>0</v>
      </c>
      <c r="AV48" s="77">
        <f>F48*AN48</f>
        <v>0</v>
      </c>
      <c r="AW48" s="79" t="s">
        <v>261</v>
      </c>
      <c r="AX48" s="79" t="s">
        <v>147</v>
      </c>
      <c r="AY48" s="71" t="s">
        <v>137</v>
      </c>
      <c r="BA48" s="77">
        <f>AU48+AV48</f>
        <v>0</v>
      </c>
      <c r="BB48" s="77">
        <f>G48/(100-BC48)*100</f>
        <v>0</v>
      </c>
      <c r="BC48" s="77">
        <v>0</v>
      </c>
      <c r="BD48" s="77">
        <f>L48</f>
        <v>0</v>
      </c>
      <c r="BF48" s="77">
        <f>F48*AM48</f>
        <v>0</v>
      </c>
      <c r="BG48" s="77">
        <f>F48*AN48</f>
        <v>0</v>
      </c>
      <c r="BH48" s="77">
        <f>F48*G48</f>
        <v>0</v>
      </c>
      <c r="BI48" s="77"/>
      <c r="BJ48" s="77">
        <v>19</v>
      </c>
      <c r="BU48" s="77" t="e">
        <f>#REF!</f>
        <v>#REF!</v>
      </c>
      <c r="BV48" s="70" t="s">
        <v>260</v>
      </c>
    </row>
    <row r="49" spans="1:74" ht="13.5" customHeight="1" thickBot="1" x14ac:dyDescent="0.3">
      <c r="A49" s="107"/>
      <c r="B49" s="108" t="s">
        <v>138</v>
      </c>
      <c r="C49" s="308" t="s">
        <v>515</v>
      </c>
      <c r="D49" s="309"/>
      <c r="E49" s="309"/>
      <c r="F49" s="309"/>
      <c r="G49" s="309"/>
      <c r="H49" s="309"/>
      <c r="I49" s="309"/>
      <c r="J49" s="309"/>
      <c r="K49" s="309"/>
      <c r="L49" s="309"/>
      <c r="M49" s="310"/>
    </row>
    <row r="50" spans="1:74" x14ac:dyDescent="0.25">
      <c r="A50" s="97" t="s">
        <v>129</v>
      </c>
      <c r="B50" s="98" t="s">
        <v>232</v>
      </c>
      <c r="C50" s="318" t="s">
        <v>267</v>
      </c>
      <c r="D50" s="319"/>
      <c r="E50" s="99" t="s">
        <v>87</v>
      </c>
      <c r="F50" s="99" t="s">
        <v>87</v>
      </c>
      <c r="G50" s="99" t="s">
        <v>87</v>
      </c>
      <c r="H50" s="100">
        <f>SUM(H51:H51)</f>
        <v>0</v>
      </c>
      <c r="I50" s="100">
        <f>SUM(I51:I51)</f>
        <v>0</v>
      </c>
      <c r="J50" s="100">
        <f>SUM(J51:J51)</f>
        <v>0</v>
      </c>
      <c r="K50" s="101" t="s">
        <v>129</v>
      </c>
      <c r="L50" s="100">
        <f>SUM(L51:L51)</f>
        <v>0</v>
      </c>
      <c r="M50" s="102" t="s">
        <v>129</v>
      </c>
      <c r="AG50" s="71" t="s">
        <v>129</v>
      </c>
      <c r="AQ50" s="67">
        <f>SUM(AH51:AH51)</f>
        <v>0</v>
      </c>
      <c r="AR50" s="67">
        <f>SUM(AI51:AI51)</f>
        <v>0</v>
      </c>
      <c r="AS50" s="67">
        <f>SUM(AJ51:AJ51)</f>
        <v>0</v>
      </c>
    </row>
    <row r="51" spans="1:74" x14ac:dyDescent="0.25">
      <c r="A51" s="92" t="s">
        <v>214</v>
      </c>
      <c r="B51" s="69" t="s">
        <v>927</v>
      </c>
      <c r="C51" s="306" t="s">
        <v>270</v>
      </c>
      <c r="D51" s="307"/>
      <c r="E51" s="69" t="s">
        <v>166</v>
      </c>
      <c r="F51" s="77">
        <v>4.84</v>
      </c>
      <c r="G51" s="218">
        <v>0</v>
      </c>
      <c r="H51" s="77">
        <f>F51*AM51</f>
        <v>0</v>
      </c>
      <c r="I51" s="77">
        <f>F51*AN51</f>
        <v>0</v>
      </c>
      <c r="J51" s="77">
        <f>F51*G51</f>
        <v>0</v>
      </c>
      <c r="K51" s="77">
        <v>0</v>
      </c>
      <c r="L51" s="77">
        <f>F51*K51</f>
        <v>0</v>
      </c>
      <c r="M51" s="103" t="s">
        <v>35</v>
      </c>
      <c r="X51" s="77">
        <f>IF(AO51="5",BH51,0)</f>
        <v>0</v>
      </c>
      <c r="Z51" s="77">
        <f>IF(AO51="1",BF51,0)</f>
        <v>0</v>
      </c>
      <c r="AA51" s="77">
        <f>IF(AO51="1",BG51,0)</f>
        <v>0</v>
      </c>
      <c r="AB51" s="77">
        <f>IF(AO51="7",BF51,0)</f>
        <v>0</v>
      </c>
      <c r="AC51" s="77">
        <f>IF(AO51="7",BG51,0)</f>
        <v>0</v>
      </c>
      <c r="AD51" s="77">
        <f>IF(AO51="2",BF51,0)</f>
        <v>0</v>
      </c>
      <c r="AE51" s="77">
        <f>IF(AO51="2",BG51,0)</f>
        <v>0</v>
      </c>
      <c r="AF51" s="77">
        <f>IF(AO51="0",BH51,0)</f>
        <v>0</v>
      </c>
      <c r="AG51" s="71" t="s">
        <v>129</v>
      </c>
      <c r="AH51" s="77">
        <f>IF(AL51=0,J51,0)</f>
        <v>0</v>
      </c>
      <c r="AI51" s="77">
        <f>IF(AL51=15,J51,0)</f>
        <v>0</v>
      </c>
      <c r="AJ51" s="77">
        <f>IF(AL51=21,J51,0)</f>
        <v>0</v>
      </c>
      <c r="AL51" s="77">
        <v>15</v>
      </c>
      <c r="AM51" s="77">
        <f>G51*0</f>
        <v>0</v>
      </c>
      <c r="AN51" s="77">
        <f>G51*(1-0)</f>
        <v>0</v>
      </c>
      <c r="AO51" s="79" t="s">
        <v>132</v>
      </c>
      <c r="AT51" s="77">
        <f>AU51+AV51</f>
        <v>0</v>
      </c>
      <c r="AU51" s="77">
        <f>F51*AM51</f>
        <v>0</v>
      </c>
      <c r="AV51" s="77">
        <f>F51*AN51</f>
        <v>0</v>
      </c>
      <c r="AW51" s="79" t="s">
        <v>271</v>
      </c>
      <c r="AX51" s="79" t="s">
        <v>272</v>
      </c>
      <c r="AY51" s="71" t="s">
        <v>137</v>
      </c>
      <c r="BA51" s="77">
        <f>AU51+AV51</f>
        <v>0</v>
      </c>
      <c r="BB51" s="77">
        <f>G51/(100-BC51)*100</f>
        <v>0</v>
      </c>
      <c r="BC51" s="77">
        <v>0</v>
      </c>
      <c r="BD51" s="77">
        <f>L51</f>
        <v>0</v>
      </c>
      <c r="BF51" s="77">
        <f>F51*AM51</f>
        <v>0</v>
      </c>
      <c r="BG51" s="77">
        <f>F51*AN51</f>
        <v>0</v>
      </c>
      <c r="BH51" s="77">
        <f>F51*G51</f>
        <v>0</v>
      </c>
      <c r="BI51" s="77"/>
      <c r="BJ51" s="77">
        <v>21</v>
      </c>
      <c r="BU51" s="77" t="e">
        <f>#REF!</f>
        <v>#REF!</v>
      </c>
      <c r="BV51" s="70" t="s">
        <v>270</v>
      </c>
    </row>
    <row r="52" spans="1:74" ht="40.5" customHeight="1" x14ac:dyDescent="0.25">
      <c r="A52" s="104"/>
      <c r="B52" s="81" t="s">
        <v>138</v>
      </c>
      <c r="C52" s="303" t="s">
        <v>1129</v>
      </c>
      <c r="D52" s="304"/>
      <c r="E52" s="304"/>
      <c r="F52" s="304"/>
      <c r="G52" s="304"/>
      <c r="H52" s="304"/>
      <c r="I52" s="304"/>
      <c r="J52" s="304"/>
      <c r="K52" s="304"/>
      <c r="L52" s="304"/>
      <c r="M52" s="305"/>
    </row>
    <row r="53" spans="1:74" x14ac:dyDescent="0.25">
      <c r="A53" s="105" t="s">
        <v>129</v>
      </c>
      <c r="B53" s="74" t="s">
        <v>288</v>
      </c>
      <c r="C53" s="314" t="s">
        <v>289</v>
      </c>
      <c r="D53" s="315"/>
      <c r="E53" s="75" t="s">
        <v>87</v>
      </c>
      <c r="F53" s="75" t="s">
        <v>87</v>
      </c>
      <c r="G53" s="75" t="s">
        <v>87</v>
      </c>
      <c r="H53" s="67">
        <f>SUM(H54:H54)</f>
        <v>0</v>
      </c>
      <c r="I53" s="67">
        <f>SUM(I54:I54)</f>
        <v>0</v>
      </c>
      <c r="J53" s="67">
        <f>SUM(J54:J54)</f>
        <v>0</v>
      </c>
      <c r="K53" s="71" t="s">
        <v>129</v>
      </c>
      <c r="L53" s="67">
        <f>SUM(L54:L54)</f>
        <v>1.3802620999999999</v>
      </c>
      <c r="M53" s="106" t="s">
        <v>129</v>
      </c>
      <c r="AG53" s="71" t="s">
        <v>129</v>
      </c>
      <c r="AQ53" s="67">
        <f>SUM(AH54:AH54)</f>
        <v>0</v>
      </c>
      <c r="AR53" s="67">
        <f>SUM(AI54:AI54)</f>
        <v>0</v>
      </c>
      <c r="AS53" s="67">
        <f>SUM(AJ54:AJ54)</f>
        <v>0</v>
      </c>
    </row>
    <row r="54" spans="1:74" x14ac:dyDescent="0.25">
      <c r="A54" s="92" t="s">
        <v>219</v>
      </c>
      <c r="B54" s="69" t="s">
        <v>291</v>
      </c>
      <c r="C54" s="306" t="s">
        <v>524</v>
      </c>
      <c r="D54" s="307"/>
      <c r="E54" s="69" t="s">
        <v>177</v>
      </c>
      <c r="F54" s="77">
        <v>0.73</v>
      </c>
      <c r="G54" s="218">
        <v>0</v>
      </c>
      <c r="H54" s="77">
        <f>F54*AM54</f>
        <v>0</v>
      </c>
      <c r="I54" s="77">
        <f>F54*AN54</f>
        <v>0</v>
      </c>
      <c r="J54" s="77">
        <f>F54*G54</f>
        <v>0</v>
      </c>
      <c r="K54" s="77">
        <v>1.8907700000000001</v>
      </c>
      <c r="L54" s="77">
        <f>F54*K54</f>
        <v>1.3802620999999999</v>
      </c>
      <c r="M54" s="103"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G54*0.487559318</f>
        <v>0</v>
      </c>
      <c r="AN54" s="77">
        <f>G54*(1-0.487559318)</f>
        <v>0</v>
      </c>
      <c r="AO54" s="79" t="s">
        <v>132</v>
      </c>
      <c r="AT54" s="77">
        <f>AU54+AV54</f>
        <v>0</v>
      </c>
      <c r="AU54" s="77">
        <f>F54*AM54</f>
        <v>0</v>
      </c>
      <c r="AV54" s="77">
        <f>F54*AN54</f>
        <v>0</v>
      </c>
      <c r="AW54" s="79" t="s">
        <v>293</v>
      </c>
      <c r="AX54" s="79" t="s">
        <v>294</v>
      </c>
      <c r="AY54" s="71" t="s">
        <v>137</v>
      </c>
      <c r="BA54" s="77">
        <f>AU54+AV54</f>
        <v>0</v>
      </c>
      <c r="BB54" s="77">
        <f>G54/(100-BC54)*100</f>
        <v>0</v>
      </c>
      <c r="BC54" s="77">
        <v>0</v>
      </c>
      <c r="BD54" s="77">
        <f>L54</f>
        <v>1.3802620999999999</v>
      </c>
      <c r="BF54" s="77">
        <f>F54*AM54</f>
        <v>0</v>
      </c>
      <c r="BG54" s="77">
        <f>F54*AN54</f>
        <v>0</v>
      </c>
      <c r="BH54" s="77">
        <f>F54*G54</f>
        <v>0</v>
      </c>
      <c r="BI54" s="77"/>
      <c r="BJ54" s="77">
        <v>45</v>
      </c>
      <c r="BU54" s="77" t="e">
        <f>#REF!</f>
        <v>#REF!</v>
      </c>
      <c r="BV54" s="70" t="s">
        <v>524</v>
      </c>
    </row>
    <row r="55" spans="1:74" ht="67.5" customHeight="1" x14ac:dyDescent="0.25">
      <c r="A55" s="104"/>
      <c r="B55" s="81" t="s">
        <v>138</v>
      </c>
      <c r="C55" s="303" t="s">
        <v>1130</v>
      </c>
      <c r="D55" s="304"/>
      <c r="E55" s="304"/>
      <c r="F55" s="304"/>
      <c r="G55" s="304"/>
      <c r="H55" s="304"/>
      <c r="I55" s="304"/>
      <c r="J55" s="304"/>
      <c r="K55" s="304"/>
      <c r="L55" s="304"/>
      <c r="M55" s="305"/>
    </row>
    <row r="56" spans="1:74" x14ac:dyDescent="0.25">
      <c r="A56" s="105" t="s">
        <v>129</v>
      </c>
      <c r="B56" s="74" t="s">
        <v>296</v>
      </c>
      <c r="C56" s="314" t="s">
        <v>297</v>
      </c>
      <c r="D56" s="315"/>
      <c r="E56" s="75" t="s">
        <v>87</v>
      </c>
      <c r="F56" s="75" t="s">
        <v>87</v>
      </c>
      <c r="G56" s="75" t="s">
        <v>87</v>
      </c>
      <c r="H56" s="67">
        <f>SUM(H57:H63)</f>
        <v>0</v>
      </c>
      <c r="I56" s="67">
        <f>SUM(I57:I63)</f>
        <v>0</v>
      </c>
      <c r="J56" s="67">
        <f>SUM(J57:J63)</f>
        <v>0</v>
      </c>
      <c r="K56" s="71" t="s">
        <v>129</v>
      </c>
      <c r="L56" s="67">
        <f>SUM(L57:L63)</f>
        <v>13.5952369</v>
      </c>
      <c r="M56" s="106" t="s">
        <v>129</v>
      </c>
      <c r="AG56" s="71" t="s">
        <v>129</v>
      </c>
      <c r="AQ56" s="67">
        <f>SUM(AH57:AH63)</f>
        <v>0</v>
      </c>
      <c r="AR56" s="67">
        <f>SUM(AI57:AI63)</f>
        <v>0</v>
      </c>
      <c r="AS56" s="67">
        <f>SUM(AJ57:AJ63)</f>
        <v>0</v>
      </c>
    </row>
    <row r="57" spans="1:74" x14ac:dyDescent="0.25">
      <c r="A57" s="92" t="s">
        <v>224</v>
      </c>
      <c r="B57" s="69" t="s">
        <v>1092</v>
      </c>
      <c r="C57" s="306" t="s">
        <v>1093</v>
      </c>
      <c r="D57" s="307"/>
      <c r="E57" s="69" t="s">
        <v>166</v>
      </c>
      <c r="F57" s="77">
        <v>6.93</v>
      </c>
      <c r="G57" s="218">
        <v>0</v>
      </c>
      <c r="H57" s="77">
        <f>F57*AM57</f>
        <v>0</v>
      </c>
      <c r="I57" s="77">
        <f>F57*AN57</f>
        <v>0</v>
      </c>
      <c r="J57" s="77">
        <f>F57*G57</f>
        <v>0</v>
      </c>
      <c r="K57" s="77">
        <v>0.55125000000000002</v>
      </c>
      <c r="L57" s="77">
        <f>F57*K57</f>
        <v>3.8201624999999999</v>
      </c>
      <c r="M57" s="103" t="s">
        <v>35</v>
      </c>
      <c r="X57" s="77">
        <f>IF(AO57="5",BH57,0)</f>
        <v>0</v>
      </c>
      <c r="Z57" s="77">
        <f>IF(AO57="1",BF57,0)</f>
        <v>0</v>
      </c>
      <c r="AA57" s="77">
        <f>IF(AO57="1",BG57,0)</f>
        <v>0</v>
      </c>
      <c r="AB57" s="77">
        <f>IF(AO57="7",BF57,0)</f>
        <v>0</v>
      </c>
      <c r="AC57" s="77">
        <f>IF(AO57="7",BG57,0)</f>
        <v>0</v>
      </c>
      <c r="AD57" s="77">
        <f>IF(AO57="2",BF57,0)</f>
        <v>0</v>
      </c>
      <c r="AE57" s="77">
        <f>IF(AO57="2",BG57,0)</f>
        <v>0</v>
      </c>
      <c r="AF57" s="77">
        <f>IF(AO57="0",BH57,0)</f>
        <v>0</v>
      </c>
      <c r="AG57" s="71" t="s">
        <v>129</v>
      </c>
      <c r="AH57" s="77">
        <f>IF(AL57=0,J57,0)</f>
        <v>0</v>
      </c>
      <c r="AI57" s="77">
        <f>IF(AL57=15,J57,0)</f>
        <v>0</v>
      </c>
      <c r="AJ57" s="77">
        <f>IF(AL57=21,J57,0)</f>
        <v>0</v>
      </c>
      <c r="AL57" s="77">
        <v>15</v>
      </c>
      <c r="AM57" s="77">
        <f>G57*0.876308804</f>
        <v>0</v>
      </c>
      <c r="AN57" s="77">
        <f>G57*(1-0.876308804)</f>
        <v>0</v>
      </c>
      <c r="AO57" s="79" t="s">
        <v>132</v>
      </c>
      <c r="AT57" s="77">
        <f>AU57+AV57</f>
        <v>0</v>
      </c>
      <c r="AU57" s="77">
        <f>F57*AM57</f>
        <v>0</v>
      </c>
      <c r="AV57" s="77">
        <f>F57*AN57</f>
        <v>0</v>
      </c>
      <c r="AW57" s="79" t="s">
        <v>301</v>
      </c>
      <c r="AX57" s="79" t="s">
        <v>302</v>
      </c>
      <c r="AY57" s="71" t="s">
        <v>137</v>
      </c>
      <c r="BA57" s="77">
        <f>AU57+AV57</f>
        <v>0</v>
      </c>
      <c r="BB57" s="77">
        <f>G57/(100-BC57)*100</f>
        <v>0</v>
      </c>
      <c r="BC57" s="77">
        <v>0</v>
      </c>
      <c r="BD57" s="77">
        <f>L57</f>
        <v>3.8201624999999999</v>
      </c>
      <c r="BF57" s="77">
        <f>F57*AM57</f>
        <v>0</v>
      </c>
      <c r="BG57" s="77">
        <f>F57*AN57</f>
        <v>0</v>
      </c>
      <c r="BH57" s="77">
        <f>F57*G57</f>
        <v>0</v>
      </c>
      <c r="BI57" s="77"/>
      <c r="BJ57" s="77">
        <v>56</v>
      </c>
      <c r="BU57" s="77" t="e">
        <f>#REF!</f>
        <v>#REF!</v>
      </c>
      <c r="BV57" s="70" t="s">
        <v>1093</v>
      </c>
    </row>
    <row r="58" spans="1:74" ht="40.5" customHeight="1" x14ac:dyDescent="0.25">
      <c r="A58" s="104"/>
      <c r="B58" s="81" t="s">
        <v>138</v>
      </c>
      <c r="C58" s="303" t="s">
        <v>1131</v>
      </c>
      <c r="D58" s="304"/>
      <c r="E58" s="304"/>
      <c r="F58" s="304"/>
      <c r="G58" s="304"/>
      <c r="H58" s="304"/>
      <c r="I58" s="304"/>
      <c r="J58" s="304"/>
      <c r="K58" s="304"/>
      <c r="L58" s="304"/>
      <c r="M58" s="305"/>
    </row>
    <row r="59" spans="1:74" x14ac:dyDescent="0.25">
      <c r="A59" s="92" t="s">
        <v>228</v>
      </c>
      <c r="B59" s="69" t="s">
        <v>305</v>
      </c>
      <c r="C59" s="306" t="s">
        <v>306</v>
      </c>
      <c r="D59" s="307"/>
      <c r="E59" s="69" t="s">
        <v>166</v>
      </c>
      <c r="F59" s="77">
        <v>7.28</v>
      </c>
      <c r="G59" s="218">
        <v>0</v>
      </c>
      <c r="H59" s="77">
        <f>F59*AM59</f>
        <v>0</v>
      </c>
      <c r="I59" s="77">
        <f>F59*AN59</f>
        <v>0</v>
      </c>
      <c r="J59" s="77">
        <f>F59*G59</f>
        <v>0</v>
      </c>
      <c r="K59" s="77">
        <v>0.48574000000000001</v>
      </c>
      <c r="L59" s="77">
        <f>F59*K59</f>
        <v>3.5361872000000001</v>
      </c>
      <c r="M59" s="103" t="s">
        <v>35</v>
      </c>
      <c r="X59" s="77">
        <f>IF(AO59="5",BH59,0)</f>
        <v>0</v>
      </c>
      <c r="Z59" s="77">
        <f>IF(AO59="1",BF59,0)</f>
        <v>0</v>
      </c>
      <c r="AA59" s="77">
        <f>IF(AO59="1",BG59,0)</f>
        <v>0</v>
      </c>
      <c r="AB59" s="77">
        <f>IF(AO59="7",BF59,0)</f>
        <v>0</v>
      </c>
      <c r="AC59" s="77">
        <f>IF(AO59="7",BG59,0)</f>
        <v>0</v>
      </c>
      <c r="AD59" s="77">
        <f>IF(AO59="2",BF59,0)</f>
        <v>0</v>
      </c>
      <c r="AE59" s="77">
        <f>IF(AO59="2",BG59,0)</f>
        <v>0</v>
      </c>
      <c r="AF59" s="77">
        <f>IF(AO59="0",BH59,0)</f>
        <v>0</v>
      </c>
      <c r="AG59" s="71" t="s">
        <v>129</v>
      </c>
      <c r="AH59" s="77">
        <f>IF(AL59=0,J59,0)</f>
        <v>0</v>
      </c>
      <c r="AI59" s="77">
        <f>IF(AL59=15,J59,0)</f>
        <v>0</v>
      </c>
      <c r="AJ59" s="77">
        <f>IF(AL59=21,J59,0)</f>
        <v>0</v>
      </c>
      <c r="AL59" s="77">
        <v>15</v>
      </c>
      <c r="AM59" s="77">
        <f>G59*0.813421427</f>
        <v>0</v>
      </c>
      <c r="AN59" s="77">
        <f>G59*(1-0.813421427)</f>
        <v>0</v>
      </c>
      <c r="AO59" s="79" t="s">
        <v>132</v>
      </c>
      <c r="AT59" s="77">
        <f>AU59+AV59</f>
        <v>0</v>
      </c>
      <c r="AU59" s="77">
        <f>F59*AM59</f>
        <v>0</v>
      </c>
      <c r="AV59" s="77">
        <f>F59*AN59</f>
        <v>0</v>
      </c>
      <c r="AW59" s="79" t="s">
        <v>301</v>
      </c>
      <c r="AX59" s="79" t="s">
        <v>302</v>
      </c>
      <c r="AY59" s="71" t="s">
        <v>137</v>
      </c>
      <c r="BA59" s="77">
        <f>AU59+AV59</f>
        <v>0</v>
      </c>
      <c r="BB59" s="77">
        <f>G59/(100-BC59)*100</f>
        <v>0</v>
      </c>
      <c r="BC59" s="77">
        <v>0</v>
      </c>
      <c r="BD59" s="77">
        <f>L59</f>
        <v>3.5361872000000001</v>
      </c>
      <c r="BF59" s="77">
        <f>F59*AM59</f>
        <v>0</v>
      </c>
      <c r="BG59" s="77">
        <f>F59*AN59</f>
        <v>0</v>
      </c>
      <c r="BH59" s="77">
        <f>F59*G59</f>
        <v>0</v>
      </c>
      <c r="BI59" s="77"/>
      <c r="BJ59" s="77">
        <v>56</v>
      </c>
      <c r="BU59" s="77" t="e">
        <f>#REF!</f>
        <v>#REF!</v>
      </c>
      <c r="BV59" s="70" t="s">
        <v>306</v>
      </c>
    </row>
    <row r="60" spans="1:74" ht="40.5" customHeight="1" x14ac:dyDescent="0.25">
      <c r="A60" s="104"/>
      <c r="B60" s="81" t="s">
        <v>138</v>
      </c>
      <c r="C60" s="303" t="s">
        <v>1132</v>
      </c>
      <c r="D60" s="304"/>
      <c r="E60" s="304"/>
      <c r="F60" s="304"/>
      <c r="G60" s="304"/>
      <c r="H60" s="304"/>
      <c r="I60" s="304"/>
      <c r="J60" s="304"/>
      <c r="K60" s="304"/>
      <c r="L60" s="304"/>
      <c r="M60" s="305"/>
    </row>
    <row r="61" spans="1:74" x14ac:dyDescent="0.25">
      <c r="A61" s="92" t="s">
        <v>232</v>
      </c>
      <c r="B61" s="69" t="s">
        <v>305</v>
      </c>
      <c r="C61" s="306" t="s">
        <v>306</v>
      </c>
      <c r="D61" s="307"/>
      <c r="E61" s="69" t="s">
        <v>166</v>
      </c>
      <c r="F61" s="77">
        <v>7.28</v>
      </c>
      <c r="G61" s="218">
        <v>0</v>
      </c>
      <c r="H61" s="77">
        <f>F61*AM61</f>
        <v>0</v>
      </c>
      <c r="I61" s="77">
        <f>F61*AN61</f>
        <v>0</v>
      </c>
      <c r="J61" s="77">
        <f>F61*G61</f>
        <v>0</v>
      </c>
      <c r="K61" s="77">
        <v>0.48574000000000001</v>
      </c>
      <c r="L61" s="77">
        <f>F61*K61</f>
        <v>3.5361872000000001</v>
      </c>
      <c r="M61" s="103" t="s">
        <v>35</v>
      </c>
      <c r="X61" s="77">
        <f>IF(AO61="5",BH61,0)</f>
        <v>0</v>
      </c>
      <c r="Z61" s="77">
        <f>IF(AO61="1",BF61,0)</f>
        <v>0</v>
      </c>
      <c r="AA61" s="77">
        <f>IF(AO61="1",BG61,0)</f>
        <v>0</v>
      </c>
      <c r="AB61" s="77">
        <f>IF(AO61="7",BF61,0)</f>
        <v>0</v>
      </c>
      <c r="AC61" s="77">
        <f>IF(AO61="7",BG61,0)</f>
        <v>0</v>
      </c>
      <c r="AD61" s="77">
        <f>IF(AO61="2",BF61,0)</f>
        <v>0</v>
      </c>
      <c r="AE61" s="77">
        <f>IF(AO61="2",BG61,0)</f>
        <v>0</v>
      </c>
      <c r="AF61" s="77">
        <f>IF(AO61="0",BH61,0)</f>
        <v>0</v>
      </c>
      <c r="AG61" s="71" t="s">
        <v>129</v>
      </c>
      <c r="AH61" s="77">
        <f>IF(AL61=0,J61,0)</f>
        <v>0</v>
      </c>
      <c r="AI61" s="77">
        <f>IF(AL61=15,J61,0)</f>
        <v>0</v>
      </c>
      <c r="AJ61" s="77">
        <f>IF(AL61=21,J61,0)</f>
        <v>0</v>
      </c>
      <c r="AL61" s="77">
        <v>15</v>
      </c>
      <c r="AM61" s="77">
        <f>G61*0.813421427</f>
        <v>0</v>
      </c>
      <c r="AN61" s="77">
        <f>G61*(1-0.813421427)</f>
        <v>0</v>
      </c>
      <c r="AO61" s="79" t="s">
        <v>132</v>
      </c>
      <c r="AT61" s="77">
        <f>AU61+AV61</f>
        <v>0</v>
      </c>
      <c r="AU61" s="77">
        <f>F61*AM61</f>
        <v>0</v>
      </c>
      <c r="AV61" s="77">
        <f>F61*AN61</f>
        <v>0</v>
      </c>
      <c r="AW61" s="79" t="s">
        <v>301</v>
      </c>
      <c r="AX61" s="79" t="s">
        <v>302</v>
      </c>
      <c r="AY61" s="71" t="s">
        <v>137</v>
      </c>
      <c r="BA61" s="77">
        <f>AU61+AV61</f>
        <v>0</v>
      </c>
      <c r="BB61" s="77">
        <f>G61/(100-BC61)*100</f>
        <v>0</v>
      </c>
      <c r="BC61" s="77">
        <v>0</v>
      </c>
      <c r="BD61" s="77">
        <f>L61</f>
        <v>3.5361872000000001</v>
      </c>
      <c r="BF61" s="77">
        <f>F61*AM61</f>
        <v>0</v>
      </c>
      <c r="BG61" s="77">
        <f>F61*AN61</f>
        <v>0</v>
      </c>
      <c r="BH61" s="77">
        <f>F61*G61</f>
        <v>0</v>
      </c>
      <c r="BI61" s="77"/>
      <c r="BJ61" s="77">
        <v>56</v>
      </c>
      <c r="BU61" s="77" t="e">
        <f>#REF!</f>
        <v>#REF!</v>
      </c>
      <c r="BV61" s="70" t="s">
        <v>306</v>
      </c>
    </row>
    <row r="62" spans="1:74" ht="40.5" customHeight="1" x14ac:dyDescent="0.25">
      <c r="A62" s="104"/>
      <c r="B62" s="81" t="s">
        <v>138</v>
      </c>
      <c r="C62" s="303" t="s">
        <v>1132</v>
      </c>
      <c r="D62" s="304"/>
      <c r="E62" s="304"/>
      <c r="F62" s="304"/>
      <c r="G62" s="304"/>
      <c r="H62" s="304"/>
      <c r="I62" s="304"/>
      <c r="J62" s="304"/>
      <c r="K62" s="304"/>
      <c r="L62" s="304"/>
      <c r="M62" s="305"/>
    </row>
    <row r="63" spans="1:74" x14ac:dyDescent="0.25">
      <c r="A63" s="92" t="s">
        <v>236</v>
      </c>
      <c r="B63" s="69" t="s">
        <v>311</v>
      </c>
      <c r="C63" s="306" t="s">
        <v>312</v>
      </c>
      <c r="D63" s="307"/>
      <c r="E63" s="69" t="s">
        <v>166</v>
      </c>
      <c r="F63" s="77">
        <v>7.15</v>
      </c>
      <c r="G63" s="218">
        <v>0</v>
      </c>
      <c r="H63" s="77">
        <f>F63*AM63</f>
        <v>0</v>
      </c>
      <c r="I63" s="77">
        <f>F63*AN63</f>
        <v>0</v>
      </c>
      <c r="J63" s="77">
        <f>F63*G63</f>
        <v>0</v>
      </c>
      <c r="K63" s="77">
        <v>0.378</v>
      </c>
      <c r="L63" s="77">
        <f>F63*K63</f>
        <v>2.7027000000000001</v>
      </c>
      <c r="M63" s="103" t="s">
        <v>35</v>
      </c>
      <c r="X63" s="77">
        <f>IF(AO63="5",BH63,0)</f>
        <v>0</v>
      </c>
      <c r="Z63" s="77">
        <f>IF(AO63="1",BF63,0)</f>
        <v>0</v>
      </c>
      <c r="AA63" s="77">
        <f>IF(AO63="1",BG63,0)</f>
        <v>0</v>
      </c>
      <c r="AB63" s="77">
        <f>IF(AO63="7",BF63,0)</f>
        <v>0</v>
      </c>
      <c r="AC63" s="77">
        <f>IF(AO63="7",BG63,0)</f>
        <v>0</v>
      </c>
      <c r="AD63" s="77">
        <f>IF(AO63="2",BF63,0)</f>
        <v>0</v>
      </c>
      <c r="AE63" s="77">
        <f>IF(AO63="2",BG63,0)</f>
        <v>0</v>
      </c>
      <c r="AF63" s="77">
        <f>IF(AO63="0",BH63,0)</f>
        <v>0</v>
      </c>
      <c r="AG63" s="71" t="s">
        <v>129</v>
      </c>
      <c r="AH63" s="77">
        <f>IF(AL63=0,J63,0)</f>
        <v>0</v>
      </c>
      <c r="AI63" s="77">
        <f>IF(AL63=15,J63,0)</f>
        <v>0</v>
      </c>
      <c r="AJ63" s="77">
        <f>IF(AL63=21,J63,0)</f>
        <v>0</v>
      </c>
      <c r="AL63" s="77">
        <v>15</v>
      </c>
      <c r="AM63" s="77">
        <f>G63*0.826797099</f>
        <v>0</v>
      </c>
      <c r="AN63" s="77">
        <f>G63*(1-0.826797099)</f>
        <v>0</v>
      </c>
      <c r="AO63" s="79" t="s">
        <v>132</v>
      </c>
      <c r="AT63" s="77">
        <f>AU63+AV63</f>
        <v>0</v>
      </c>
      <c r="AU63" s="77">
        <f>F63*AM63</f>
        <v>0</v>
      </c>
      <c r="AV63" s="77">
        <f>F63*AN63</f>
        <v>0</v>
      </c>
      <c r="AW63" s="79" t="s">
        <v>301</v>
      </c>
      <c r="AX63" s="79" t="s">
        <v>302</v>
      </c>
      <c r="AY63" s="71" t="s">
        <v>137</v>
      </c>
      <c r="BA63" s="77">
        <f>AU63+AV63</f>
        <v>0</v>
      </c>
      <c r="BB63" s="77">
        <f>G63/(100-BC63)*100</f>
        <v>0</v>
      </c>
      <c r="BC63" s="77">
        <v>0</v>
      </c>
      <c r="BD63" s="77">
        <f>L63</f>
        <v>2.7027000000000001</v>
      </c>
      <c r="BF63" s="77">
        <f>F63*AM63</f>
        <v>0</v>
      </c>
      <c r="BG63" s="77">
        <f>F63*AN63</f>
        <v>0</v>
      </c>
      <c r="BH63" s="77">
        <f>F63*G63</f>
        <v>0</v>
      </c>
      <c r="BI63" s="77"/>
      <c r="BJ63" s="77">
        <v>56</v>
      </c>
      <c r="BU63" s="77" t="e">
        <f>#REF!</f>
        <v>#REF!</v>
      </c>
      <c r="BV63" s="70" t="s">
        <v>312</v>
      </c>
    </row>
    <row r="64" spans="1:74" ht="40.5" customHeight="1" x14ac:dyDescent="0.25">
      <c r="A64" s="104"/>
      <c r="B64" s="81" t="s">
        <v>138</v>
      </c>
      <c r="C64" s="303" t="s">
        <v>1133</v>
      </c>
      <c r="D64" s="304"/>
      <c r="E64" s="304"/>
      <c r="F64" s="304"/>
      <c r="G64" s="304"/>
      <c r="H64" s="304"/>
      <c r="I64" s="304"/>
      <c r="J64" s="304"/>
      <c r="K64" s="304"/>
      <c r="L64" s="304"/>
      <c r="M64" s="305"/>
    </row>
    <row r="65" spans="1:74" x14ac:dyDescent="0.25">
      <c r="A65" s="105" t="s">
        <v>129</v>
      </c>
      <c r="B65" s="74" t="s">
        <v>1097</v>
      </c>
      <c r="C65" s="314" t="s">
        <v>1098</v>
      </c>
      <c r="D65" s="315"/>
      <c r="E65" s="75" t="s">
        <v>87</v>
      </c>
      <c r="F65" s="75" t="s">
        <v>87</v>
      </c>
      <c r="G65" s="75" t="s">
        <v>87</v>
      </c>
      <c r="H65" s="67">
        <f>SUM(H66:H66)</f>
        <v>0</v>
      </c>
      <c r="I65" s="67">
        <f>SUM(I66:I66)</f>
        <v>0</v>
      </c>
      <c r="J65" s="67">
        <f>SUM(J66:J66)</f>
        <v>0</v>
      </c>
      <c r="K65" s="71" t="s">
        <v>129</v>
      </c>
      <c r="L65" s="67">
        <f>SUM(L66:L66)</f>
        <v>1.371E-2</v>
      </c>
      <c r="M65" s="106" t="s">
        <v>129</v>
      </c>
      <c r="AG65" s="71" t="s">
        <v>129</v>
      </c>
      <c r="AQ65" s="67">
        <f>SUM(AH66:AH66)</f>
        <v>0</v>
      </c>
      <c r="AR65" s="67">
        <f>SUM(AI66:AI66)</f>
        <v>0</v>
      </c>
      <c r="AS65" s="67">
        <f>SUM(AJ66:AJ66)</f>
        <v>0</v>
      </c>
    </row>
    <row r="66" spans="1:74" x14ac:dyDescent="0.25">
      <c r="A66" s="92" t="s">
        <v>240</v>
      </c>
      <c r="B66" s="69" t="s">
        <v>1099</v>
      </c>
      <c r="C66" s="306" t="s">
        <v>1134</v>
      </c>
      <c r="D66" s="307"/>
      <c r="E66" s="69" t="s">
        <v>950</v>
      </c>
      <c r="F66" s="77">
        <v>1</v>
      </c>
      <c r="G66" s="218">
        <v>0</v>
      </c>
      <c r="H66" s="77">
        <f>F66*AM66</f>
        <v>0</v>
      </c>
      <c r="I66" s="77">
        <f>F66*AN66</f>
        <v>0</v>
      </c>
      <c r="J66" s="77">
        <f>F66*G66</f>
        <v>0</v>
      </c>
      <c r="K66" s="77">
        <v>1.371E-2</v>
      </c>
      <c r="L66" s="77">
        <f>F66*K66</f>
        <v>1.371E-2</v>
      </c>
      <c r="M66" s="103" t="s">
        <v>35</v>
      </c>
      <c r="X66" s="77">
        <f>IF(AO66="5",BH66,0)</f>
        <v>0</v>
      </c>
      <c r="Z66" s="77">
        <f>IF(AO66="1",BF66,0)</f>
        <v>0</v>
      </c>
      <c r="AA66" s="77">
        <f>IF(AO66="1",BG66,0)</f>
        <v>0</v>
      </c>
      <c r="AB66" s="77">
        <f>IF(AO66="7",BF66,0)</f>
        <v>0</v>
      </c>
      <c r="AC66" s="77">
        <f>IF(AO66="7",BG66,0)</f>
        <v>0</v>
      </c>
      <c r="AD66" s="77">
        <f>IF(AO66="2",BF66,0)</f>
        <v>0</v>
      </c>
      <c r="AE66" s="77">
        <f>IF(AO66="2",BG66,0)</f>
        <v>0</v>
      </c>
      <c r="AF66" s="77">
        <f>IF(AO66="0",BH66,0)</f>
        <v>0</v>
      </c>
      <c r="AG66" s="71" t="s">
        <v>129</v>
      </c>
      <c r="AH66" s="77">
        <f>IF(AL66=0,J66,0)</f>
        <v>0</v>
      </c>
      <c r="AI66" s="77">
        <f>IF(AL66=15,J66,0)</f>
        <v>0</v>
      </c>
      <c r="AJ66" s="77">
        <f>IF(AL66=21,J66,0)</f>
        <v>0</v>
      </c>
      <c r="AL66" s="77">
        <v>15</v>
      </c>
      <c r="AM66" s="77">
        <f>G66*0.450863732</f>
        <v>0</v>
      </c>
      <c r="AN66" s="77">
        <f>G66*(1-0.450863732)</f>
        <v>0</v>
      </c>
      <c r="AO66" s="79" t="s">
        <v>168</v>
      </c>
      <c r="AT66" s="77">
        <f>AU66+AV66</f>
        <v>0</v>
      </c>
      <c r="AU66" s="77">
        <f>F66*AM66</f>
        <v>0</v>
      </c>
      <c r="AV66" s="77">
        <f>F66*AN66</f>
        <v>0</v>
      </c>
      <c r="AW66" s="79" t="s">
        <v>1101</v>
      </c>
      <c r="AX66" s="79" t="s">
        <v>1102</v>
      </c>
      <c r="AY66" s="71" t="s">
        <v>137</v>
      </c>
      <c r="BA66" s="77">
        <f>AU66+AV66</f>
        <v>0</v>
      </c>
      <c r="BB66" s="77">
        <f>G66/(100-BC66)*100</f>
        <v>0</v>
      </c>
      <c r="BC66" s="77">
        <v>0</v>
      </c>
      <c r="BD66" s="77">
        <f>L66</f>
        <v>1.371E-2</v>
      </c>
      <c r="BF66" s="77">
        <f>F66*AM66</f>
        <v>0</v>
      </c>
      <c r="BG66" s="77">
        <f>F66*AN66</f>
        <v>0</v>
      </c>
      <c r="BH66" s="77">
        <f>F66*G66</f>
        <v>0</v>
      </c>
      <c r="BI66" s="77"/>
      <c r="BJ66" s="77">
        <v>722</v>
      </c>
      <c r="BU66" s="77" t="e">
        <f>#REF!</f>
        <v>#REF!</v>
      </c>
      <c r="BV66" s="70" t="s">
        <v>1134</v>
      </c>
    </row>
    <row r="67" spans="1:74" ht="40.5" customHeight="1" x14ac:dyDescent="0.25">
      <c r="A67" s="104"/>
      <c r="B67" s="81" t="s">
        <v>138</v>
      </c>
      <c r="C67" s="303" t="s">
        <v>1103</v>
      </c>
      <c r="D67" s="304"/>
      <c r="E67" s="304"/>
      <c r="F67" s="304"/>
      <c r="G67" s="304"/>
      <c r="H67" s="304"/>
      <c r="I67" s="304"/>
      <c r="J67" s="304"/>
      <c r="K67" s="304"/>
      <c r="L67" s="304"/>
      <c r="M67" s="305"/>
    </row>
    <row r="68" spans="1:74" x14ac:dyDescent="0.25">
      <c r="A68" s="105" t="s">
        <v>129</v>
      </c>
      <c r="B68" s="74" t="s">
        <v>651</v>
      </c>
      <c r="C68" s="314" t="s">
        <v>935</v>
      </c>
      <c r="D68" s="315"/>
      <c r="E68" s="75" t="s">
        <v>87</v>
      </c>
      <c r="F68" s="75" t="s">
        <v>87</v>
      </c>
      <c r="G68" s="75" t="s">
        <v>87</v>
      </c>
      <c r="H68" s="67">
        <f>SUM(H69:H69)</f>
        <v>0</v>
      </c>
      <c r="I68" s="67">
        <f>SUM(I69:I69)</f>
        <v>0</v>
      </c>
      <c r="J68" s="67">
        <f>SUM(J69:J69)</f>
        <v>0</v>
      </c>
      <c r="K68" s="71" t="s">
        <v>129</v>
      </c>
      <c r="L68" s="67">
        <f>SUM(L69:L69)</f>
        <v>1.4884100000000002</v>
      </c>
      <c r="M68" s="106" t="s">
        <v>129</v>
      </c>
      <c r="AG68" s="71" t="s">
        <v>129</v>
      </c>
      <c r="AQ68" s="67">
        <f>SUM(AH69:AH69)</f>
        <v>0</v>
      </c>
      <c r="AR68" s="67">
        <f>SUM(AI69:AI69)</f>
        <v>0</v>
      </c>
      <c r="AS68" s="67">
        <f>SUM(AJ69:AJ69)</f>
        <v>0</v>
      </c>
    </row>
    <row r="69" spans="1:74" x14ac:dyDescent="0.25">
      <c r="A69" s="92" t="s">
        <v>245</v>
      </c>
      <c r="B69" s="69" t="s">
        <v>1135</v>
      </c>
      <c r="C69" s="306" t="s">
        <v>1136</v>
      </c>
      <c r="D69" s="307"/>
      <c r="E69" s="69" t="s">
        <v>145</v>
      </c>
      <c r="F69" s="77">
        <v>5.5</v>
      </c>
      <c r="G69" s="218">
        <v>0</v>
      </c>
      <c r="H69" s="77">
        <f>F69*AM69</f>
        <v>0</v>
      </c>
      <c r="I69" s="77">
        <f>F69*AN69</f>
        <v>0</v>
      </c>
      <c r="J69" s="77">
        <f>F69*G69</f>
        <v>0</v>
      </c>
      <c r="K69" s="77">
        <v>0.27062000000000003</v>
      </c>
      <c r="L69" s="77">
        <f>F69*K69</f>
        <v>1.4884100000000002</v>
      </c>
      <c r="M69" s="103" t="s">
        <v>35</v>
      </c>
      <c r="X69" s="77">
        <f>IF(AO69="5",BH69,0)</f>
        <v>0</v>
      </c>
      <c r="Z69" s="77">
        <f>IF(AO69="1",BF69,0)</f>
        <v>0</v>
      </c>
      <c r="AA69" s="77">
        <f>IF(AO69="1",BG69,0)</f>
        <v>0</v>
      </c>
      <c r="AB69" s="77">
        <f>IF(AO69="7",BF69,0)</f>
        <v>0</v>
      </c>
      <c r="AC69" s="77">
        <f>IF(AO69="7",BG69,0)</f>
        <v>0</v>
      </c>
      <c r="AD69" s="77">
        <f>IF(AO69="2",BF69,0)</f>
        <v>0</v>
      </c>
      <c r="AE69" s="77">
        <f>IF(AO69="2",BG69,0)</f>
        <v>0</v>
      </c>
      <c r="AF69" s="77">
        <f>IF(AO69="0",BH69,0)</f>
        <v>0</v>
      </c>
      <c r="AG69" s="71" t="s">
        <v>129</v>
      </c>
      <c r="AH69" s="77">
        <f>IF(AL69=0,J69,0)</f>
        <v>0</v>
      </c>
      <c r="AI69" s="77">
        <f>IF(AL69=15,J69,0)</f>
        <v>0</v>
      </c>
      <c r="AJ69" s="77">
        <f>IF(AL69=21,J69,0)</f>
        <v>0</v>
      </c>
      <c r="AL69" s="77">
        <v>15</v>
      </c>
      <c r="AM69" s="77">
        <f>G69*0.407317595</f>
        <v>0</v>
      </c>
      <c r="AN69" s="77">
        <f>G69*(1-0.407317595)</f>
        <v>0</v>
      </c>
      <c r="AO69" s="79" t="s">
        <v>132</v>
      </c>
      <c r="AT69" s="77">
        <f>AU69+AV69</f>
        <v>0</v>
      </c>
      <c r="AU69" s="77">
        <f>F69*AM69</f>
        <v>0</v>
      </c>
      <c r="AV69" s="77">
        <f>F69*AN69</f>
        <v>0</v>
      </c>
      <c r="AW69" s="79" t="s">
        <v>938</v>
      </c>
      <c r="AX69" s="79" t="s">
        <v>320</v>
      </c>
      <c r="AY69" s="71" t="s">
        <v>137</v>
      </c>
      <c r="BA69" s="77">
        <f>AU69+AV69</f>
        <v>0</v>
      </c>
      <c r="BB69" s="77">
        <f>G69/(100-BC69)*100</f>
        <v>0</v>
      </c>
      <c r="BC69" s="77">
        <v>0</v>
      </c>
      <c r="BD69" s="77">
        <f>L69</f>
        <v>1.4884100000000002</v>
      </c>
      <c r="BF69" s="77">
        <f>F69*AM69</f>
        <v>0</v>
      </c>
      <c r="BG69" s="77">
        <f>F69*AN69</f>
        <v>0</v>
      </c>
      <c r="BH69" s="77">
        <f>F69*G69</f>
        <v>0</v>
      </c>
      <c r="BI69" s="77"/>
      <c r="BJ69" s="77">
        <v>83</v>
      </c>
      <c r="BU69" s="77" t="e">
        <f>#REF!</f>
        <v>#REF!</v>
      </c>
      <c r="BV69" s="70" t="s">
        <v>1136</v>
      </c>
    </row>
    <row r="70" spans="1:74" ht="121.5" customHeight="1" x14ac:dyDescent="0.25">
      <c r="A70" s="104"/>
      <c r="B70" s="81" t="s">
        <v>138</v>
      </c>
      <c r="C70" s="303" t="s">
        <v>1137</v>
      </c>
      <c r="D70" s="304"/>
      <c r="E70" s="304"/>
      <c r="F70" s="304"/>
      <c r="G70" s="304"/>
      <c r="H70" s="304"/>
      <c r="I70" s="304"/>
      <c r="J70" s="304"/>
      <c r="K70" s="304"/>
      <c r="L70" s="304"/>
      <c r="M70" s="305"/>
    </row>
    <row r="71" spans="1:74" x14ac:dyDescent="0.25">
      <c r="A71" s="105" t="s">
        <v>129</v>
      </c>
      <c r="B71" s="74" t="s">
        <v>335</v>
      </c>
      <c r="C71" s="314" t="s">
        <v>336</v>
      </c>
      <c r="D71" s="315"/>
      <c r="E71" s="75" t="s">
        <v>87</v>
      </c>
      <c r="F71" s="75" t="s">
        <v>87</v>
      </c>
      <c r="G71" s="75" t="s">
        <v>87</v>
      </c>
      <c r="H71" s="67">
        <f>SUM(H72:H74)</f>
        <v>0</v>
      </c>
      <c r="I71" s="67">
        <f>SUM(I72:I74)</f>
        <v>0</v>
      </c>
      <c r="J71" s="67">
        <f>SUM(J72:J74)</f>
        <v>0</v>
      </c>
      <c r="K71" s="71" t="s">
        <v>129</v>
      </c>
      <c r="L71" s="67">
        <f>SUM(L72:L74)</f>
        <v>5.0640000000000006E-4</v>
      </c>
      <c r="M71" s="106" t="s">
        <v>129</v>
      </c>
      <c r="AG71" s="71" t="s">
        <v>129</v>
      </c>
      <c r="AQ71" s="67">
        <f>SUM(AH72:AH74)</f>
        <v>0</v>
      </c>
      <c r="AR71" s="67">
        <f>SUM(AI72:AI74)</f>
        <v>0</v>
      </c>
      <c r="AS71" s="67">
        <f>SUM(AJ72:AJ74)</f>
        <v>0</v>
      </c>
    </row>
    <row r="72" spans="1:74" x14ac:dyDescent="0.25">
      <c r="A72" s="92" t="s">
        <v>250</v>
      </c>
      <c r="B72" s="69" t="s">
        <v>375</v>
      </c>
      <c r="C72" s="306" t="s">
        <v>376</v>
      </c>
      <c r="D72" s="307"/>
      <c r="E72" s="69" t="s">
        <v>145</v>
      </c>
      <c r="F72" s="77">
        <v>6.05</v>
      </c>
      <c r="G72" s="218">
        <v>0</v>
      </c>
      <c r="H72" s="77">
        <f>F72*AM72</f>
        <v>0</v>
      </c>
      <c r="I72" s="77">
        <f>F72*AN72</f>
        <v>0</v>
      </c>
      <c r="J72" s="77">
        <f>F72*G72</f>
        <v>0</v>
      </c>
      <c r="K72" s="77">
        <v>0</v>
      </c>
      <c r="L72" s="77">
        <f>F72*K72</f>
        <v>0</v>
      </c>
      <c r="M72" s="103" t="s">
        <v>35</v>
      </c>
      <c r="X72" s="77">
        <f>IF(AO72="5",BH72,0)</f>
        <v>0</v>
      </c>
      <c r="Z72" s="77">
        <f>IF(AO72="1",BF72,0)</f>
        <v>0</v>
      </c>
      <c r="AA72" s="77">
        <f>IF(AO72="1",BG72,0)</f>
        <v>0</v>
      </c>
      <c r="AB72" s="77">
        <f>IF(AO72="7",BF72,0)</f>
        <v>0</v>
      </c>
      <c r="AC72" s="77">
        <f>IF(AO72="7",BG72,0)</f>
        <v>0</v>
      </c>
      <c r="AD72" s="77">
        <f>IF(AO72="2",BF72,0)</f>
        <v>0</v>
      </c>
      <c r="AE72" s="77">
        <f>IF(AO72="2",BG72,0)</f>
        <v>0</v>
      </c>
      <c r="AF72" s="77">
        <f>IF(AO72="0",BH72,0)</f>
        <v>0</v>
      </c>
      <c r="AG72" s="71" t="s">
        <v>129</v>
      </c>
      <c r="AH72" s="77">
        <f>IF(AL72=0,J72,0)</f>
        <v>0</v>
      </c>
      <c r="AI72" s="77">
        <f>IF(AL72=15,J72,0)</f>
        <v>0</v>
      </c>
      <c r="AJ72" s="77">
        <f>IF(AL72=21,J72,0)</f>
        <v>0</v>
      </c>
      <c r="AL72" s="77">
        <v>15</v>
      </c>
      <c r="AM72" s="77">
        <f>G72*0.352779292</f>
        <v>0</v>
      </c>
      <c r="AN72" s="77">
        <f>G72*(1-0.352779292)</f>
        <v>0</v>
      </c>
      <c r="AO72" s="79" t="s">
        <v>132</v>
      </c>
      <c r="AT72" s="77">
        <f>AU72+AV72</f>
        <v>0</v>
      </c>
      <c r="AU72" s="77">
        <f>F72*AM72</f>
        <v>0</v>
      </c>
      <c r="AV72" s="77">
        <f>F72*AN72</f>
        <v>0</v>
      </c>
      <c r="AW72" s="79" t="s">
        <v>340</v>
      </c>
      <c r="AX72" s="79" t="s">
        <v>320</v>
      </c>
      <c r="AY72" s="71" t="s">
        <v>137</v>
      </c>
      <c r="BA72" s="77">
        <f>AU72+AV72</f>
        <v>0</v>
      </c>
      <c r="BB72" s="77">
        <f>G72/(100-BC72)*100</f>
        <v>0</v>
      </c>
      <c r="BC72" s="77">
        <v>0</v>
      </c>
      <c r="BD72" s="77">
        <f>L72</f>
        <v>0</v>
      </c>
      <c r="BF72" s="77">
        <f>F72*AM72</f>
        <v>0</v>
      </c>
      <c r="BG72" s="77">
        <f>F72*AN72</f>
        <v>0</v>
      </c>
      <c r="BH72" s="77">
        <f>F72*G72</f>
        <v>0</v>
      </c>
      <c r="BI72" s="77"/>
      <c r="BJ72" s="77">
        <v>89</v>
      </c>
      <c r="BU72" s="77" t="e">
        <f>#REF!</f>
        <v>#REF!</v>
      </c>
      <c r="BV72" s="70" t="s">
        <v>376</v>
      </c>
    </row>
    <row r="73" spans="1:74" ht="40.5" customHeight="1" x14ac:dyDescent="0.25">
      <c r="A73" s="104"/>
      <c r="B73" s="81" t="s">
        <v>138</v>
      </c>
      <c r="C73" s="303" t="s">
        <v>1138</v>
      </c>
      <c r="D73" s="304"/>
      <c r="E73" s="304"/>
      <c r="F73" s="304"/>
      <c r="G73" s="304"/>
      <c r="H73" s="304"/>
      <c r="I73" s="304"/>
      <c r="J73" s="304"/>
      <c r="K73" s="304"/>
      <c r="L73" s="304"/>
      <c r="M73" s="305"/>
    </row>
    <row r="74" spans="1:74" x14ac:dyDescent="0.25">
      <c r="A74" s="92" t="s">
        <v>253</v>
      </c>
      <c r="B74" s="69" t="s">
        <v>1108</v>
      </c>
      <c r="C74" s="306" t="s">
        <v>1109</v>
      </c>
      <c r="D74" s="307"/>
      <c r="E74" s="69" t="s">
        <v>145</v>
      </c>
      <c r="F74" s="77">
        <v>6.33</v>
      </c>
      <c r="G74" s="218">
        <v>0</v>
      </c>
      <c r="H74" s="77">
        <f>F74*AM74</f>
        <v>0</v>
      </c>
      <c r="I74" s="77">
        <f>F74*AN74</f>
        <v>0</v>
      </c>
      <c r="J74" s="77">
        <f>F74*G74</f>
        <v>0</v>
      </c>
      <c r="K74" s="77">
        <v>8.0000000000000007E-5</v>
      </c>
      <c r="L74" s="77">
        <f>F74*K74</f>
        <v>5.0640000000000006E-4</v>
      </c>
      <c r="M74" s="103" t="s">
        <v>35</v>
      </c>
      <c r="X74" s="77">
        <f>IF(AO74="5",BH74,0)</f>
        <v>0</v>
      </c>
      <c r="Z74" s="77">
        <f>IF(AO74="1",BF74,0)</f>
        <v>0</v>
      </c>
      <c r="AA74" s="77">
        <f>IF(AO74="1",BG74,0)</f>
        <v>0</v>
      </c>
      <c r="AB74" s="77">
        <f>IF(AO74="7",BF74,0)</f>
        <v>0</v>
      </c>
      <c r="AC74" s="77">
        <f>IF(AO74="7",BG74,0)</f>
        <v>0</v>
      </c>
      <c r="AD74" s="77">
        <f>IF(AO74="2",BF74,0)</f>
        <v>0</v>
      </c>
      <c r="AE74" s="77">
        <f>IF(AO74="2",BG74,0)</f>
        <v>0</v>
      </c>
      <c r="AF74" s="77">
        <f>IF(AO74="0",BH74,0)</f>
        <v>0</v>
      </c>
      <c r="AG74" s="71" t="s">
        <v>129</v>
      </c>
      <c r="AH74" s="77">
        <f>IF(AL74=0,J74,0)</f>
        <v>0</v>
      </c>
      <c r="AI74" s="77">
        <f>IF(AL74=15,J74,0)</f>
        <v>0</v>
      </c>
      <c r="AJ74" s="77">
        <f>IF(AL74=21,J74,0)</f>
        <v>0</v>
      </c>
      <c r="AL74" s="77">
        <v>15</v>
      </c>
      <c r="AM74" s="77">
        <f>G74*0.585424204</f>
        <v>0</v>
      </c>
      <c r="AN74" s="77">
        <f>G74*(1-0.585424204)</f>
        <v>0</v>
      </c>
      <c r="AO74" s="79" t="s">
        <v>132</v>
      </c>
      <c r="AT74" s="77">
        <f>AU74+AV74</f>
        <v>0</v>
      </c>
      <c r="AU74" s="77">
        <f>F74*AM74</f>
        <v>0</v>
      </c>
      <c r="AV74" s="77">
        <f>F74*AN74</f>
        <v>0</v>
      </c>
      <c r="AW74" s="79" t="s">
        <v>340</v>
      </c>
      <c r="AX74" s="79" t="s">
        <v>320</v>
      </c>
      <c r="AY74" s="71" t="s">
        <v>137</v>
      </c>
      <c r="BA74" s="77">
        <f>AU74+AV74</f>
        <v>0</v>
      </c>
      <c r="BB74" s="77">
        <f>G74/(100-BC74)*100</f>
        <v>0</v>
      </c>
      <c r="BC74" s="77">
        <v>0</v>
      </c>
      <c r="BD74" s="77">
        <f>L74</f>
        <v>5.0640000000000006E-4</v>
      </c>
      <c r="BF74" s="77">
        <f>F74*AM74</f>
        <v>0</v>
      </c>
      <c r="BG74" s="77">
        <f>F74*AN74</f>
        <v>0</v>
      </c>
      <c r="BH74" s="77">
        <f>F74*G74</f>
        <v>0</v>
      </c>
      <c r="BI74" s="77"/>
      <c r="BJ74" s="77">
        <v>89</v>
      </c>
      <c r="BU74" s="77" t="e">
        <f>#REF!</f>
        <v>#REF!</v>
      </c>
      <c r="BV74" s="70" t="s">
        <v>1109</v>
      </c>
    </row>
    <row r="75" spans="1:74" ht="40.5" customHeight="1" x14ac:dyDescent="0.25">
      <c r="A75" s="104"/>
      <c r="B75" s="81" t="s">
        <v>138</v>
      </c>
      <c r="C75" s="303" t="s">
        <v>1139</v>
      </c>
      <c r="D75" s="304"/>
      <c r="E75" s="304"/>
      <c r="F75" s="304"/>
      <c r="G75" s="304"/>
      <c r="H75" s="304"/>
      <c r="I75" s="304"/>
      <c r="J75" s="304"/>
      <c r="K75" s="304"/>
      <c r="L75" s="304"/>
      <c r="M75" s="305"/>
    </row>
    <row r="76" spans="1:74" x14ac:dyDescent="0.25">
      <c r="A76" s="105" t="s">
        <v>129</v>
      </c>
      <c r="B76" s="74" t="s">
        <v>378</v>
      </c>
      <c r="C76" s="314" t="s">
        <v>379</v>
      </c>
      <c r="D76" s="315"/>
      <c r="E76" s="75" t="s">
        <v>87</v>
      </c>
      <c r="F76" s="75" t="s">
        <v>87</v>
      </c>
      <c r="G76" s="75" t="s">
        <v>87</v>
      </c>
      <c r="H76" s="67">
        <f>SUM(H77:H77)</f>
        <v>0</v>
      </c>
      <c r="I76" s="67">
        <f>SUM(I77:I77)</f>
        <v>0</v>
      </c>
      <c r="J76" s="67">
        <f>SUM(J77:J77)</f>
        <v>0</v>
      </c>
      <c r="K76" s="71" t="s">
        <v>129</v>
      </c>
      <c r="L76" s="67">
        <f>SUM(L77:L77)</f>
        <v>0</v>
      </c>
      <c r="M76" s="106" t="s">
        <v>129</v>
      </c>
      <c r="AG76" s="71" t="s">
        <v>129</v>
      </c>
      <c r="AQ76" s="67">
        <f>SUM(AH77:AH77)</f>
        <v>0</v>
      </c>
      <c r="AR76" s="67">
        <f>SUM(AI77:AI77)</f>
        <v>0</v>
      </c>
      <c r="AS76" s="67">
        <f>SUM(AJ77:AJ77)</f>
        <v>0</v>
      </c>
    </row>
    <row r="77" spans="1:74" x14ac:dyDescent="0.25">
      <c r="A77" s="92" t="s">
        <v>258</v>
      </c>
      <c r="B77" s="69" t="s">
        <v>381</v>
      </c>
      <c r="C77" s="306" t="s">
        <v>382</v>
      </c>
      <c r="D77" s="307"/>
      <c r="E77" s="69" t="s">
        <v>281</v>
      </c>
      <c r="F77" s="77">
        <v>5.07</v>
      </c>
      <c r="G77" s="218">
        <v>0</v>
      </c>
      <c r="H77" s="77">
        <f>F77*AM77</f>
        <v>0</v>
      </c>
      <c r="I77" s="77">
        <f>F77*AN77</f>
        <v>0</v>
      </c>
      <c r="J77" s="77">
        <f>F77*G77</f>
        <v>0</v>
      </c>
      <c r="K77" s="77">
        <v>0</v>
      </c>
      <c r="L77" s="77">
        <f>F77*K77</f>
        <v>0</v>
      </c>
      <c r="M77" s="103" t="s">
        <v>35</v>
      </c>
      <c r="X77" s="77">
        <f>IF(AO77="5",BH77,0)</f>
        <v>0</v>
      </c>
      <c r="Z77" s="77">
        <f>IF(AO77="1",BF77,0)</f>
        <v>0</v>
      </c>
      <c r="AA77" s="77">
        <f>IF(AO77="1",BG77,0)</f>
        <v>0</v>
      </c>
      <c r="AB77" s="77">
        <f>IF(AO77="7",BF77,0)</f>
        <v>0</v>
      </c>
      <c r="AC77" s="77">
        <f>IF(AO77="7",BG77,0)</f>
        <v>0</v>
      </c>
      <c r="AD77" s="77">
        <f>IF(AO77="2",BF77,0)</f>
        <v>0</v>
      </c>
      <c r="AE77" s="77">
        <f>IF(AO77="2",BG77,0)</f>
        <v>0</v>
      </c>
      <c r="AF77" s="77">
        <f>IF(AO77="0",BH77,0)</f>
        <v>0</v>
      </c>
      <c r="AG77" s="71" t="s">
        <v>129</v>
      </c>
      <c r="AH77" s="77">
        <f>IF(AL77=0,J77,0)</f>
        <v>0</v>
      </c>
      <c r="AI77" s="77">
        <f>IF(AL77=15,J77,0)</f>
        <v>0</v>
      </c>
      <c r="AJ77" s="77">
        <f>IF(AL77=21,J77,0)</f>
        <v>0</v>
      </c>
      <c r="AL77" s="77">
        <v>15</v>
      </c>
      <c r="AM77" s="77">
        <f>G77*0</f>
        <v>0</v>
      </c>
      <c r="AN77" s="77">
        <f>G77*(1-0)</f>
        <v>0</v>
      </c>
      <c r="AO77" s="79" t="s">
        <v>132</v>
      </c>
      <c r="AT77" s="77">
        <f>AU77+AV77</f>
        <v>0</v>
      </c>
      <c r="AU77" s="77">
        <f>F77*AM77</f>
        <v>0</v>
      </c>
      <c r="AV77" s="77">
        <f>F77*AN77</f>
        <v>0</v>
      </c>
      <c r="AW77" s="79" t="s">
        <v>383</v>
      </c>
      <c r="AX77" s="79" t="s">
        <v>384</v>
      </c>
      <c r="AY77" s="71" t="s">
        <v>137</v>
      </c>
      <c r="BA77" s="77">
        <f>AU77+AV77</f>
        <v>0</v>
      </c>
      <c r="BB77" s="77">
        <f>G77/(100-BC77)*100</f>
        <v>0</v>
      </c>
      <c r="BC77" s="77">
        <v>0</v>
      </c>
      <c r="BD77" s="77">
        <f>L77</f>
        <v>0</v>
      </c>
      <c r="BF77" s="77">
        <f>F77*AM77</f>
        <v>0</v>
      </c>
      <c r="BG77" s="77">
        <f>F77*AN77</f>
        <v>0</v>
      </c>
      <c r="BH77" s="77">
        <f>F77*G77</f>
        <v>0</v>
      </c>
      <c r="BI77" s="77"/>
      <c r="BJ77" s="77">
        <v>97</v>
      </c>
      <c r="BU77" s="77" t="e">
        <f>#REF!</f>
        <v>#REF!</v>
      </c>
      <c r="BV77" s="70" t="s">
        <v>382</v>
      </c>
    </row>
    <row r="78" spans="1:74" ht="27" customHeight="1" thickBot="1" x14ac:dyDescent="0.3">
      <c r="A78" s="107"/>
      <c r="B78" s="108" t="s">
        <v>138</v>
      </c>
      <c r="C78" s="308" t="s">
        <v>1140</v>
      </c>
      <c r="D78" s="309"/>
      <c r="E78" s="309"/>
      <c r="F78" s="309"/>
      <c r="G78" s="309"/>
      <c r="H78" s="309"/>
      <c r="I78" s="309"/>
      <c r="J78" s="309"/>
      <c r="K78" s="309"/>
      <c r="L78" s="309"/>
      <c r="M78" s="310"/>
    </row>
    <row r="79" spans="1:74" x14ac:dyDescent="0.25">
      <c r="A79" s="97" t="s">
        <v>129</v>
      </c>
      <c r="B79" s="98" t="s">
        <v>386</v>
      </c>
      <c r="C79" s="318" t="s">
        <v>387</v>
      </c>
      <c r="D79" s="319"/>
      <c r="E79" s="99" t="s">
        <v>87</v>
      </c>
      <c r="F79" s="99" t="s">
        <v>87</v>
      </c>
      <c r="G79" s="99" t="s">
        <v>87</v>
      </c>
      <c r="H79" s="100">
        <f>SUM(H80:H85)</f>
        <v>0</v>
      </c>
      <c r="I79" s="100">
        <f>SUM(I80:I85)</f>
        <v>0</v>
      </c>
      <c r="J79" s="100">
        <f>SUM(J80:J85)</f>
        <v>0</v>
      </c>
      <c r="K79" s="101" t="s">
        <v>129</v>
      </c>
      <c r="L79" s="100">
        <f>SUM(L80:L85)</f>
        <v>0</v>
      </c>
      <c r="M79" s="102" t="s">
        <v>129</v>
      </c>
      <c r="AG79" s="71" t="s">
        <v>129</v>
      </c>
      <c r="AQ79" s="67">
        <f>SUM(AH80:AH85)</f>
        <v>0</v>
      </c>
      <c r="AR79" s="67">
        <f>SUM(AI80:AI85)</f>
        <v>0</v>
      </c>
      <c r="AS79" s="67">
        <f>SUM(AJ80:AJ85)</f>
        <v>0</v>
      </c>
    </row>
    <row r="80" spans="1:74" x14ac:dyDescent="0.25">
      <c r="A80" s="92" t="s">
        <v>263</v>
      </c>
      <c r="B80" s="69" t="s">
        <v>389</v>
      </c>
      <c r="C80" s="306" t="s">
        <v>390</v>
      </c>
      <c r="D80" s="307"/>
      <c r="E80" s="69" t="s">
        <v>281</v>
      </c>
      <c r="F80" s="77">
        <v>6.76</v>
      </c>
      <c r="G80" s="218">
        <v>0</v>
      </c>
      <c r="H80" s="77">
        <f>F80*AM80</f>
        <v>0</v>
      </c>
      <c r="I80" s="77">
        <f>F80*AN80</f>
        <v>0</v>
      </c>
      <c r="J80" s="77">
        <f>F80*G80</f>
        <v>0</v>
      </c>
      <c r="K80" s="77">
        <v>0</v>
      </c>
      <c r="L80" s="77">
        <f>F80*K80</f>
        <v>0</v>
      </c>
      <c r="M80" s="103" t="s">
        <v>35</v>
      </c>
      <c r="X80" s="77">
        <f>IF(AO80="5",BH80,0)</f>
        <v>0</v>
      </c>
      <c r="Z80" s="77">
        <f>IF(AO80="1",BF80,0)</f>
        <v>0</v>
      </c>
      <c r="AA80" s="77">
        <f>IF(AO80="1",BG80,0)</f>
        <v>0</v>
      </c>
      <c r="AB80" s="77">
        <f>IF(AO80="7",BF80,0)</f>
        <v>0</v>
      </c>
      <c r="AC80" s="77">
        <f>IF(AO80="7",BG80,0)</f>
        <v>0</v>
      </c>
      <c r="AD80" s="77">
        <f>IF(AO80="2",BF80,0)</f>
        <v>0</v>
      </c>
      <c r="AE80" s="77">
        <f>IF(AO80="2",BG80,0)</f>
        <v>0</v>
      </c>
      <c r="AF80" s="77">
        <f>IF(AO80="0",BH80,0)</f>
        <v>0</v>
      </c>
      <c r="AG80" s="71" t="s">
        <v>129</v>
      </c>
      <c r="AH80" s="77">
        <f>IF(AL80=0,J80,0)</f>
        <v>0</v>
      </c>
      <c r="AI80" s="77">
        <f>IF(AL80=15,J80,0)</f>
        <v>0</v>
      </c>
      <c r="AJ80" s="77">
        <f>IF(AL80=21,J80,0)</f>
        <v>0</v>
      </c>
      <c r="AL80" s="77">
        <v>15</v>
      </c>
      <c r="AM80" s="77">
        <f>G80*0</f>
        <v>0</v>
      </c>
      <c r="AN80" s="77">
        <f>G80*(1-0)</f>
        <v>0</v>
      </c>
      <c r="AO80" s="79" t="s">
        <v>158</v>
      </c>
      <c r="AT80" s="77">
        <f>AU80+AV80</f>
        <v>0</v>
      </c>
      <c r="AU80" s="77">
        <f>F80*AM80</f>
        <v>0</v>
      </c>
      <c r="AV80" s="77">
        <f>F80*AN80</f>
        <v>0</v>
      </c>
      <c r="AW80" s="79" t="s">
        <v>391</v>
      </c>
      <c r="AX80" s="79" t="s">
        <v>384</v>
      </c>
      <c r="AY80" s="71" t="s">
        <v>137</v>
      </c>
      <c r="BA80" s="77">
        <f>AU80+AV80</f>
        <v>0</v>
      </c>
      <c r="BB80" s="77">
        <f>G80/(100-BC80)*100</f>
        <v>0</v>
      </c>
      <c r="BC80" s="77">
        <v>0</v>
      </c>
      <c r="BD80" s="77">
        <f>L80</f>
        <v>0</v>
      </c>
      <c r="BF80" s="77">
        <f>F80*AM80</f>
        <v>0</v>
      </c>
      <c r="BG80" s="77">
        <f>F80*AN80</f>
        <v>0</v>
      </c>
      <c r="BH80" s="77">
        <f>F80*G80</f>
        <v>0</v>
      </c>
      <c r="BI80" s="77"/>
      <c r="BJ80" s="77"/>
      <c r="BU80" s="77" t="e">
        <f>#REF!</f>
        <v>#REF!</v>
      </c>
      <c r="BV80" s="70" t="s">
        <v>390</v>
      </c>
    </row>
    <row r="81" spans="1:74" x14ac:dyDescent="0.25">
      <c r="A81" s="92" t="s">
        <v>268</v>
      </c>
      <c r="B81" s="69" t="s">
        <v>393</v>
      </c>
      <c r="C81" s="306" t="s">
        <v>394</v>
      </c>
      <c r="D81" s="307"/>
      <c r="E81" s="69" t="s">
        <v>281</v>
      </c>
      <c r="F81" s="77">
        <v>25.35</v>
      </c>
      <c r="G81" s="218">
        <v>0</v>
      </c>
      <c r="H81" s="77">
        <f>F81*AM81</f>
        <v>0</v>
      </c>
      <c r="I81" s="77">
        <f>F81*AN81</f>
        <v>0</v>
      </c>
      <c r="J81" s="77">
        <f>F81*G81</f>
        <v>0</v>
      </c>
      <c r="K81" s="77">
        <v>0</v>
      </c>
      <c r="L81" s="77">
        <f>F81*K81</f>
        <v>0</v>
      </c>
      <c r="M81" s="103" t="s">
        <v>35</v>
      </c>
      <c r="X81" s="77">
        <f>IF(AO81="5",BH81,0)</f>
        <v>0</v>
      </c>
      <c r="Z81" s="77">
        <f>IF(AO81="1",BF81,0)</f>
        <v>0</v>
      </c>
      <c r="AA81" s="77">
        <f>IF(AO81="1",BG81,0)</f>
        <v>0</v>
      </c>
      <c r="AB81" s="77">
        <f>IF(AO81="7",BF81,0)</f>
        <v>0</v>
      </c>
      <c r="AC81" s="77">
        <f>IF(AO81="7",BG81,0)</f>
        <v>0</v>
      </c>
      <c r="AD81" s="77">
        <f>IF(AO81="2",BF81,0)</f>
        <v>0</v>
      </c>
      <c r="AE81" s="77">
        <f>IF(AO81="2",BG81,0)</f>
        <v>0</v>
      </c>
      <c r="AF81" s="77">
        <f>IF(AO81="0",BH81,0)</f>
        <v>0</v>
      </c>
      <c r="AG81" s="71" t="s">
        <v>129</v>
      </c>
      <c r="AH81" s="77">
        <f>IF(AL81=0,J81,0)</f>
        <v>0</v>
      </c>
      <c r="AI81" s="77">
        <f>IF(AL81=15,J81,0)</f>
        <v>0</v>
      </c>
      <c r="AJ81" s="77">
        <f>IF(AL81=21,J81,0)</f>
        <v>0</v>
      </c>
      <c r="AL81" s="77">
        <v>15</v>
      </c>
      <c r="AM81" s="77">
        <f>G81*0</f>
        <v>0</v>
      </c>
      <c r="AN81" s="77">
        <f>G81*(1-0)</f>
        <v>0</v>
      </c>
      <c r="AO81" s="79" t="s">
        <v>158</v>
      </c>
      <c r="AT81" s="77">
        <f>AU81+AV81</f>
        <v>0</v>
      </c>
      <c r="AU81" s="77">
        <f>F81*AM81</f>
        <v>0</v>
      </c>
      <c r="AV81" s="77">
        <f>F81*AN81</f>
        <v>0</v>
      </c>
      <c r="AW81" s="79" t="s">
        <v>391</v>
      </c>
      <c r="AX81" s="79" t="s">
        <v>384</v>
      </c>
      <c r="AY81" s="71" t="s">
        <v>137</v>
      </c>
      <c r="BA81" s="77">
        <f>AU81+AV81</f>
        <v>0</v>
      </c>
      <c r="BB81" s="77">
        <f>G81/(100-BC81)*100</f>
        <v>0</v>
      </c>
      <c r="BC81" s="77">
        <v>0</v>
      </c>
      <c r="BD81" s="77">
        <f>L81</f>
        <v>0</v>
      </c>
      <c r="BF81" s="77">
        <f>F81*AM81</f>
        <v>0</v>
      </c>
      <c r="BG81" s="77">
        <f>F81*AN81</f>
        <v>0</v>
      </c>
      <c r="BH81" s="77">
        <f>F81*G81</f>
        <v>0</v>
      </c>
      <c r="BI81" s="77"/>
      <c r="BJ81" s="77"/>
      <c r="BU81" s="77" t="e">
        <f>#REF!</f>
        <v>#REF!</v>
      </c>
      <c r="BV81" s="70" t="s">
        <v>394</v>
      </c>
    </row>
    <row r="82" spans="1:74" ht="40.5" customHeight="1" x14ac:dyDescent="0.25">
      <c r="A82" s="104"/>
      <c r="B82" s="81" t="s">
        <v>138</v>
      </c>
      <c r="C82" s="303" t="s">
        <v>1141</v>
      </c>
      <c r="D82" s="304"/>
      <c r="E82" s="304"/>
      <c r="F82" s="304"/>
      <c r="G82" s="304"/>
      <c r="H82" s="304"/>
      <c r="I82" s="304"/>
      <c r="J82" s="304"/>
      <c r="K82" s="304"/>
      <c r="L82" s="304"/>
      <c r="M82" s="305"/>
    </row>
    <row r="83" spans="1:74" x14ac:dyDescent="0.25">
      <c r="A83" s="92" t="s">
        <v>274</v>
      </c>
      <c r="B83" s="69" t="s">
        <v>798</v>
      </c>
      <c r="C83" s="306" t="s">
        <v>799</v>
      </c>
      <c r="D83" s="307"/>
      <c r="E83" s="69" t="s">
        <v>281</v>
      </c>
      <c r="F83" s="77">
        <v>8.4499999999999993</v>
      </c>
      <c r="G83" s="218">
        <v>0</v>
      </c>
      <c r="H83" s="77">
        <f>F83*AM83</f>
        <v>0</v>
      </c>
      <c r="I83" s="77">
        <f>F83*AN83</f>
        <v>0</v>
      </c>
      <c r="J83" s="77">
        <f>F83*G83</f>
        <v>0</v>
      </c>
      <c r="K83" s="77">
        <v>0</v>
      </c>
      <c r="L83" s="77">
        <f>F83*K83</f>
        <v>0</v>
      </c>
      <c r="M83" s="103" t="s">
        <v>35</v>
      </c>
      <c r="X83" s="77">
        <f>IF(AO83="5",BH83,0)</f>
        <v>0</v>
      </c>
      <c r="Z83" s="77">
        <f>IF(AO83="1",BF83,0)</f>
        <v>0</v>
      </c>
      <c r="AA83" s="77">
        <f>IF(AO83="1",BG83,0)</f>
        <v>0</v>
      </c>
      <c r="AB83" s="77">
        <f>IF(AO83="7",BF83,0)</f>
        <v>0</v>
      </c>
      <c r="AC83" s="77">
        <f>IF(AO83="7",BG83,0)</f>
        <v>0</v>
      </c>
      <c r="AD83" s="77">
        <f>IF(AO83="2",BF83,0)</f>
        <v>0</v>
      </c>
      <c r="AE83" s="77">
        <f>IF(AO83="2",BG83,0)</f>
        <v>0</v>
      </c>
      <c r="AF83" s="77">
        <f>IF(AO83="0",BH83,0)</f>
        <v>0</v>
      </c>
      <c r="AG83" s="71" t="s">
        <v>129</v>
      </c>
      <c r="AH83" s="77">
        <f>IF(AL83=0,J83,0)</f>
        <v>0</v>
      </c>
      <c r="AI83" s="77">
        <f>IF(AL83=15,J83,0)</f>
        <v>0</v>
      </c>
      <c r="AJ83" s="77">
        <f>IF(AL83=21,J83,0)</f>
        <v>0</v>
      </c>
      <c r="AL83" s="77">
        <v>15</v>
      </c>
      <c r="AM83" s="77">
        <f>G83*0</f>
        <v>0</v>
      </c>
      <c r="AN83" s="77">
        <f>G83*(1-0)</f>
        <v>0</v>
      </c>
      <c r="AO83" s="79" t="s">
        <v>158</v>
      </c>
      <c r="AT83" s="77">
        <f>AU83+AV83</f>
        <v>0</v>
      </c>
      <c r="AU83" s="77">
        <f>F83*AM83</f>
        <v>0</v>
      </c>
      <c r="AV83" s="77">
        <f>F83*AN83</f>
        <v>0</v>
      </c>
      <c r="AW83" s="79" t="s">
        <v>391</v>
      </c>
      <c r="AX83" s="79" t="s">
        <v>384</v>
      </c>
      <c r="AY83" s="71" t="s">
        <v>137</v>
      </c>
      <c r="BA83" s="77">
        <f>AU83+AV83</f>
        <v>0</v>
      </c>
      <c r="BB83" s="77">
        <f>G83/(100-BC83)*100</f>
        <v>0</v>
      </c>
      <c r="BC83" s="77">
        <v>0</v>
      </c>
      <c r="BD83" s="77">
        <f>L83</f>
        <v>0</v>
      </c>
      <c r="BF83" s="77">
        <f>F83*AM83</f>
        <v>0</v>
      </c>
      <c r="BG83" s="77">
        <f>F83*AN83</f>
        <v>0</v>
      </c>
      <c r="BH83" s="77">
        <f>F83*G83</f>
        <v>0</v>
      </c>
      <c r="BI83" s="77"/>
      <c r="BJ83" s="77"/>
      <c r="BU83" s="77" t="e">
        <f>#REF!</f>
        <v>#REF!</v>
      </c>
      <c r="BV83" s="70" t="s">
        <v>799</v>
      </c>
    </row>
    <row r="84" spans="1:74" ht="40.5" customHeight="1" x14ac:dyDescent="0.25">
      <c r="A84" s="104"/>
      <c r="B84" s="81" t="s">
        <v>138</v>
      </c>
      <c r="C84" s="303" t="s">
        <v>1142</v>
      </c>
      <c r="D84" s="304"/>
      <c r="E84" s="304"/>
      <c r="F84" s="304"/>
      <c r="G84" s="304"/>
      <c r="H84" s="304"/>
      <c r="I84" s="304"/>
      <c r="J84" s="304"/>
      <c r="K84" s="304"/>
      <c r="L84" s="304"/>
      <c r="M84" s="305"/>
    </row>
    <row r="85" spans="1:74" ht="25.5" x14ac:dyDescent="0.25">
      <c r="A85" s="92" t="s">
        <v>278</v>
      </c>
      <c r="B85" s="69" t="s">
        <v>389</v>
      </c>
      <c r="C85" s="306" t="s">
        <v>400</v>
      </c>
      <c r="D85" s="307"/>
      <c r="E85" s="69" t="s">
        <v>281</v>
      </c>
      <c r="F85" s="77">
        <v>10.89</v>
      </c>
      <c r="G85" s="218">
        <v>0</v>
      </c>
      <c r="H85" s="77">
        <f>F85*AM85</f>
        <v>0</v>
      </c>
      <c r="I85" s="77">
        <f>F85*AN85</f>
        <v>0</v>
      </c>
      <c r="J85" s="77">
        <f>F85*G85</f>
        <v>0</v>
      </c>
      <c r="K85" s="77">
        <v>0</v>
      </c>
      <c r="L85" s="77">
        <f>F85*K85</f>
        <v>0</v>
      </c>
      <c r="M85" s="103" t="s">
        <v>35</v>
      </c>
      <c r="X85" s="77">
        <f>IF(AO85="5",BH85,0)</f>
        <v>0</v>
      </c>
      <c r="Z85" s="77">
        <f>IF(AO85="1",BF85,0)</f>
        <v>0</v>
      </c>
      <c r="AA85" s="77">
        <f>IF(AO85="1",BG85,0)</f>
        <v>0</v>
      </c>
      <c r="AB85" s="77">
        <f>IF(AO85="7",BF85,0)</f>
        <v>0</v>
      </c>
      <c r="AC85" s="77">
        <f>IF(AO85="7",BG85,0)</f>
        <v>0</v>
      </c>
      <c r="AD85" s="77">
        <f>IF(AO85="2",BF85,0)</f>
        <v>0</v>
      </c>
      <c r="AE85" s="77">
        <f>IF(AO85="2",BG85,0)</f>
        <v>0</v>
      </c>
      <c r="AF85" s="77">
        <f>IF(AO85="0",BH85,0)</f>
        <v>0</v>
      </c>
      <c r="AG85" s="71" t="s">
        <v>129</v>
      </c>
      <c r="AH85" s="77">
        <f>IF(AL85=0,J85,0)</f>
        <v>0</v>
      </c>
      <c r="AI85" s="77">
        <f>IF(AL85=15,J85,0)</f>
        <v>0</v>
      </c>
      <c r="AJ85" s="77">
        <f>IF(AL85=21,J85,0)</f>
        <v>0</v>
      </c>
      <c r="AL85" s="77">
        <v>15</v>
      </c>
      <c r="AM85" s="77">
        <f>G85*0</f>
        <v>0</v>
      </c>
      <c r="AN85" s="77">
        <f>G85*(1-0)</f>
        <v>0</v>
      </c>
      <c r="AO85" s="79" t="s">
        <v>158</v>
      </c>
      <c r="AT85" s="77">
        <f>AU85+AV85</f>
        <v>0</v>
      </c>
      <c r="AU85" s="77">
        <f>F85*AM85</f>
        <v>0</v>
      </c>
      <c r="AV85" s="77">
        <f>F85*AN85</f>
        <v>0</v>
      </c>
      <c r="AW85" s="79" t="s">
        <v>391</v>
      </c>
      <c r="AX85" s="79" t="s">
        <v>384</v>
      </c>
      <c r="AY85" s="71" t="s">
        <v>137</v>
      </c>
      <c r="BA85" s="77">
        <f>AU85+AV85</f>
        <v>0</v>
      </c>
      <c r="BB85" s="77">
        <f>G85/(100-BC85)*100</f>
        <v>0</v>
      </c>
      <c r="BC85" s="77">
        <v>0</v>
      </c>
      <c r="BD85" s="77">
        <f>L85</f>
        <v>0</v>
      </c>
      <c r="BF85" s="77">
        <f>F85*AM85</f>
        <v>0</v>
      </c>
      <c r="BG85" s="77">
        <f>F85*AN85</f>
        <v>0</v>
      </c>
      <c r="BH85" s="77">
        <f>F85*G85</f>
        <v>0</v>
      </c>
      <c r="BI85" s="77"/>
      <c r="BJ85" s="77"/>
      <c r="BU85" s="77" t="e">
        <f>#REF!</f>
        <v>#REF!</v>
      </c>
      <c r="BV85" s="70" t="s">
        <v>400</v>
      </c>
    </row>
    <row r="86" spans="1:74" x14ac:dyDescent="0.25">
      <c r="A86" s="105" t="s">
        <v>129</v>
      </c>
      <c r="B86" s="74" t="s">
        <v>401</v>
      </c>
      <c r="C86" s="314" t="s">
        <v>402</v>
      </c>
      <c r="D86" s="315"/>
      <c r="E86" s="75" t="s">
        <v>87</v>
      </c>
      <c r="F86" s="75" t="s">
        <v>87</v>
      </c>
      <c r="G86" s="75" t="s">
        <v>87</v>
      </c>
      <c r="H86" s="67">
        <f>SUM(H87:H88)</f>
        <v>0</v>
      </c>
      <c r="I86" s="67">
        <f>SUM(I87:I88)</f>
        <v>0</v>
      </c>
      <c r="J86" s="67">
        <f>SUM(J87:J88)</f>
        <v>0</v>
      </c>
      <c r="K86" s="71" t="s">
        <v>129</v>
      </c>
      <c r="L86" s="67">
        <f>SUM(L87:L88)</f>
        <v>0</v>
      </c>
      <c r="M86" s="106" t="s">
        <v>129</v>
      </c>
      <c r="AG86" s="71" t="s">
        <v>129</v>
      </c>
      <c r="AQ86" s="67">
        <f>SUM(AH87:AH88)</f>
        <v>0</v>
      </c>
      <c r="AR86" s="67">
        <f>SUM(AI87:AI88)</f>
        <v>0</v>
      </c>
      <c r="AS86" s="67">
        <f>SUM(AJ87:AJ88)</f>
        <v>0</v>
      </c>
    </row>
    <row r="87" spans="1:74" x14ac:dyDescent="0.25">
      <c r="A87" s="92" t="s">
        <v>283</v>
      </c>
      <c r="B87" s="69" t="s">
        <v>404</v>
      </c>
      <c r="C87" s="306" t="s">
        <v>405</v>
      </c>
      <c r="D87" s="307"/>
      <c r="E87" s="69" t="s">
        <v>281</v>
      </c>
      <c r="F87" s="77">
        <v>1.5</v>
      </c>
      <c r="G87" s="218">
        <v>0</v>
      </c>
      <c r="H87" s="77">
        <f>F87*AM87</f>
        <v>0</v>
      </c>
      <c r="I87" s="77">
        <f>F87*AN87</f>
        <v>0</v>
      </c>
      <c r="J87" s="77">
        <f>F87*G87</f>
        <v>0</v>
      </c>
      <c r="K87" s="77">
        <v>0</v>
      </c>
      <c r="L87" s="77">
        <f>F87*K87</f>
        <v>0</v>
      </c>
      <c r="M87" s="103" t="s">
        <v>35</v>
      </c>
      <c r="X87" s="77">
        <f>IF(AO87="5",BH87,0)</f>
        <v>0</v>
      </c>
      <c r="Z87" s="77">
        <f>IF(AO87="1",BF87,0)</f>
        <v>0</v>
      </c>
      <c r="AA87" s="77">
        <f>IF(AO87="1",BG87,0)</f>
        <v>0</v>
      </c>
      <c r="AB87" s="77">
        <f>IF(AO87="7",BF87,0)</f>
        <v>0</v>
      </c>
      <c r="AC87" s="77">
        <f>IF(AO87="7",BG87,0)</f>
        <v>0</v>
      </c>
      <c r="AD87" s="77">
        <f>IF(AO87="2",BF87,0)</f>
        <v>0</v>
      </c>
      <c r="AE87" s="77">
        <f>IF(AO87="2",BG87,0)</f>
        <v>0</v>
      </c>
      <c r="AF87" s="77">
        <f>IF(AO87="0",BH87,0)</f>
        <v>0</v>
      </c>
      <c r="AG87" s="71" t="s">
        <v>129</v>
      </c>
      <c r="AH87" s="77">
        <f>IF(AL87=0,J87,0)</f>
        <v>0</v>
      </c>
      <c r="AI87" s="77">
        <f>IF(AL87=15,J87,0)</f>
        <v>0</v>
      </c>
      <c r="AJ87" s="77">
        <f>IF(AL87=21,J87,0)</f>
        <v>0</v>
      </c>
      <c r="AL87" s="77">
        <v>15</v>
      </c>
      <c r="AM87" s="77">
        <f>G87*0</f>
        <v>0</v>
      </c>
      <c r="AN87" s="77">
        <f>G87*(1-0)</f>
        <v>0</v>
      </c>
      <c r="AO87" s="79" t="s">
        <v>158</v>
      </c>
      <c r="AT87" s="77">
        <f>AU87+AV87</f>
        <v>0</v>
      </c>
      <c r="AU87" s="77">
        <f>F87*AM87</f>
        <v>0</v>
      </c>
      <c r="AV87" s="77">
        <f>F87*AN87</f>
        <v>0</v>
      </c>
      <c r="AW87" s="79" t="s">
        <v>406</v>
      </c>
      <c r="AX87" s="79" t="s">
        <v>384</v>
      </c>
      <c r="AY87" s="71" t="s">
        <v>137</v>
      </c>
      <c r="BA87" s="77">
        <f>AU87+AV87</f>
        <v>0</v>
      </c>
      <c r="BB87" s="77">
        <f>G87/(100-BC87)*100</f>
        <v>0</v>
      </c>
      <c r="BC87" s="77">
        <v>0</v>
      </c>
      <c r="BD87" s="77">
        <f>L87</f>
        <v>0</v>
      </c>
      <c r="BF87" s="77">
        <f>F87*AM87</f>
        <v>0</v>
      </c>
      <c r="BG87" s="77">
        <f>F87*AN87</f>
        <v>0</v>
      </c>
      <c r="BH87" s="77">
        <f>F87*G87</f>
        <v>0</v>
      </c>
      <c r="BI87" s="77"/>
      <c r="BJ87" s="77"/>
      <c r="BU87" s="77" t="e">
        <f>#REF!</f>
        <v>#REF!</v>
      </c>
      <c r="BV87" s="70" t="s">
        <v>405</v>
      </c>
    </row>
    <row r="88" spans="1:74" x14ac:dyDescent="0.25">
      <c r="A88" s="92" t="s">
        <v>290</v>
      </c>
      <c r="B88" s="69" t="s">
        <v>408</v>
      </c>
      <c r="C88" s="306" t="s">
        <v>409</v>
      </c>
      <c r="D88" s="307"/>
      <c r="E88" s="69" t="s">
        <v>281</v>
      </c>
      <c r="F88" s="77">
        <v>4.32</v>
      </c>
      <c r="G88" s="218">
        <v>0</v>
      </c>
      <c r="H88" s="77">
        <f>F88*AM88</f>
        <v>0</v>
      </c>
      <c r="I88" s="77">
        <f>F88*AN88</f>
        <v>0</v>
      </c>
      <c r="J88" s="77">
        <f>F88*G88</f>
        <v>0</v>
      </c>
      <c r="K88" s="77">
        <v>0</v>
      </c>
      <c r="L88" s="77">
        <f>F88*K88</f>
        <v>0</v>
      </c>
      <c r="M88" s="103" t="s">
        <v>35</v>
      </c>
      <c r="X88" s="77">
        <f>IF(AO88="5",BH88,0)</f>
        <v>0</v>
      </c>
      <c r="Z88" s="77">
        <f>IF(AO88="1",BF88,0)</f>
        <v>0</v>
      </c>
      <c r="AA88" s="77">
        <f>IF(AO88="1",BG88,0)</f>
        <v>0</v>
      </c>
      <c r="AB88" s="77">
        <f>IF(AO88="7",BF88,0)</f>
        <v>0</v>
      </c>
      <c r="AC88" s="77">
        <f>IF(AO88="7",BG88,0)</f>
        <v>0</v>
      </c>
      <c r="AD88" s="77">
        <f>IF(AO88="2",BF88,0)</f>
        <v>0</v>
      </c>
      <c r="AE88" s="77">
        <f>IF(AO88="2",BG88,0)</f>
        <v>0</v>
      </c>
      <c r="AF88" s="77">
        <f>IF(AO88="0",BH88,0)</f>
        <v>0</v>
      </c>
      <c r="AG88" s="71" t="s">
        <v>129</v>
      </c>
      <c r="AH88" s="77">
        <f>IF(AL88=0,J88,0)</f>
        <v>0</v>
      </c>
      <c r="AI88" s="77">
        <f>IF(AL88=15,J88,0)</f>
        <v>0</v>
      </c>
      <c r="AJ88" s="77">
        <f>IF(AL88=21,J88,0)</f>
        <v>0</v>
      </c>
      <c r="AL88" s="77">
        <v>15</v>
      </c>
      <c r="AM88" s="77">
        <f>G88*0</f>
        <v>0</v>
      </c>
      <c r="AN88" s="77">
        <f>G88*(1-0)</f>
        <v>0</v>
      </c>
      <c r="AO88" s="79" t="s">
        <v>158</v>
      </c>
      <c r="AT88" s="77">
        <f>AU88+AV88</f>
        <v>0</v>
      </c>
      <c r="AU88" s="77">
        <f>F88*AM88</f>
        <v>0</v>
      </c>
      <c r="AV88" s="77">
        <f>F88*AN88</f>
        <v>0</v>
      </c>
      <c r="AW88" s="79" t="s">
        <v>406</v>
      </c>
      <c r="AX88" s="79" t="s">
        <v>384</v>
      </c>
      <c r="AY88" s="71" t="s">
        <v>137</v>
      </c>
      <c r="BA88" s="77">
        <f>AU88+AV88</f>
        <v>0</v>
      </c>
      <c r="BB88" s="77">
        <f>G88/(100-BC88)*100</f>
        <v>0</v>
      </c>
      <c r="BC88" s="77">
        <v>0</v>
      </c>
      <c r="BD88" s="77">
        <f>L88</f>
        <v>0</v>
      </c>
      <c r="BF88" s="77">
        <f>F88*AM88</f>
        <v>0</v>
      </c>
      <c r="BG88" s="77">
        <f>F88*AN88</f>
        <v>0</v>
      </c>
      <c r="BH88" s="77">
        <f>F88*G88</f>
        <v>0</v>
      </c>
      <c r="BI88" s="77"/>
      <c r="BJ88" s="77"/>
      <c r="BU88" s="77" t="e">
        <f>#REF!</f>
        <v>#REF!</v>
      </c>
      <c r="BV88" s="70" t="s">
        <v>409</v>
      </c>
    </row>
    <row r="89" spans="1:74" x14ac:dyDescent="0.25">
      <c r="A89" s="105" t="s">
        <v>129</v>
      </c>
      <c r="B89" s="74" t="s">
        <v>585</v>
      </c>
      <c r="C89" s="314" t="s">
        <v>586</v>
      </c>
      <c r="D89" s="315"/>
      <c r="E89" s="75" t="s">
        <v>87</v>
      </c>
      <c r="F89" s="75" t="s">
        <v>87</v>
      </c>
      <c r="G89" s="75" t="s">
        <v>87</v>
      </c>
      <c r="H89" s="67">
        <f>SUM(H90:H90)</f>
        <v>0</v>
      </c>
      <c r="I89" s="67">
        <f>SUM(I90:I90)</f>
        <v>0</v>
      </c>
      <c r="J89" s="67">
        <f>SUM(J90:J90)</f>
        <v>0</v>
      </c>
      <c r="K89" s="71" t="s">
        <v>129</v>
      </c>
      <c r="L89" s="67">
        <f>SUM(L90:L90)</f>
        <v>0</v>
      </c>
      <c r="M89" s="106" t="s">
        <v>129</v>
      </c>
      <c r="AG89" s="71" t="s">
        <v>129</v>
      </c>
      <c r="AQ89" s="67">
        <f>SUM(AH90:AH90)</f>
        <v>0</v>
      </c>
      <c r="AR89" s="67">
        <f>SUM(AI90:AI90)</f>
        <v>0</v>
      </c>
      <c r="AS89" s="67">
        <f>SUM(AJ90:AJ90)</f>
        <v>0</v>
      </c>
    </row>
    <row r="90" spans="1:74" ht="15.75" thickBot="1" x14ac:dyDescent="0.3">
      <c r="A90" s="93" t="s">
        <v>298</v>
      </c>
      <c r="B90" s="94" t="s">
        <v>587</v>
      </c>
      <c r="C90" s="316" t="s">
        <v>588</v>
      </c>
      <c r="D90" s="317"/>
      <c r="E90" s="94" t="s">
        <v>281</v>
      </c>
      <c r="F90" s="125">
        <v>0.01</v>
      </c>
      <c r="G90" s="220">
        <v>0</v>
      </c>
      <c r="H90" s="125">
        <f>F90*AM90</f>
        <v>0</v>
      </c>
      <c r="I90" s="125">
        <f>F90*AN90</f>
        <v>0</v>
      </c>
      <c r="J90" s="125">
        <f>F90*G90</f>
        <v>0</v>
      </c>
      <c r="K90" s="125">
        <v>0</v>
      </c>
      <c r="L90" s="125">
        <f>F90*K90</f>
        <v>0</v>
      </c>
      <c r="M90" s="126" t="s">
        <v>35</v>
      </c>
      <c r="X90" s="77">
        <f>IF(AO90="5",BH90,0)</f>
        <v>0</v>
      </c>
      <c r="Z90" s="77">
        <f>IF(AO90="1",BF90,0)</f>
        <v>0</v>
      </c>
      <c r="AA90" s="77">
        <f>IF(AO90="1",BG90,0)</f>
        <v>0</v>
      </c>
      <c r="AB90" s="77">
        <f>IF(AO90="7",BF90,0)</f>
        <v>0</v>
      </c>
      <c r="AC90" s="77">
        <f>IF(AO90="7",BG90,0)</f>
        <v>0</v>
      </c>
      <c r="AD90" s="77">
        <f>IF(AO90="2",BF90,0)</f>
        <v>0</v>
      </c>
      <c r="AE90" s="77">
        <f>IF(AO90="2",BG90,0)</f>
        <v>0</v>
      </c>
      <c r="AF90" s="77">
        <f>IF(AO90="0",BH90,0)</f>
        <v>0</v>
      </c>
      <c r="AG90" s="71" t="s">
        <v>129</v>
      </c>
      <c r="AH90" s="77">
        <f>IF(AL90=0,J90,0)</f>
        <v>0</v>
      </c>
      <c r="AI90" s="77">
        <f>IF(AL90=15,J90,0)</f>
        <v>0</v>
      </c>
      <c r="AJ90" s="77">
        <f>IF(AL90=21,J90,0)</f>
        <v>0</v>
      </c>
      <c r="AL90" s="77">
        <v>15</v>
      </c>
      <c r="AM90" s="77">
        <f>G90*0</f>
        <v>0</v>
      </c>
      <c r="AN90" s="77">
        <f>G90*(1-0)</f>
        <v>0</v>
      </c>
      <c r="AO90" s="79" t="s">
        <v>158</v>
      </c>
      <c r="AT90" s="77">
        <f>AU90+AV90</f>
        <v>0</v>
      </c>
      <c r="AU90" s="77">
        <f>F90*AM90</f>
        <v>0</v>
      </c>
      <c r="AV90" s="77">
        <f>F90*AN90</f>
        <v>0</v>
      </c>
      <c r="AW90" s="79" t="s">
        <v>589</v>
      </c>
      <c r="AX90" s="79" t="s">
        <v>384</v>
      </c>
      <c r="AY90" s="71" t="s">
        <v>137</v>
      </c>
      <c r="BA90" s="77">
        <f>AU90+AV90</f>
        <v>0</v>
      </c>
      <c r="BB90" s="77">
        <f>G90/(100-BC90)*100</f>
        <v>0</v>
      </c>
      <c r="BC90" s="77">
        <v>0</v>
      </c>
      <c r="BD90" s="77">
        <f>L90</f>
        <v>0</v>
      </c>
      <c r="BF90" s="77">
        <f>F90*AM90</f>
        <v>0</v>
      </c>
      <c r="BG90" s="77">
        <f>F90*AN90</f>
        <v>0</v>
      </c>
      <c r="BH90" s="77">
        <f>F90*G90</f>
        <v>0</v>
      </c>
      <c r="BI90" s="77"/>
      <c r="BJ90" s="77"/>
      <c r="BU90" s="77" t="e">
        <f>#REF!</f>
        <v>#REF!</v>
      </c>
      <c r="BV90" s="70" t="s">
        <v>588</v>
      </c>
    </row>
    <row r="91" spans="1:74" x14ac:dyDescent="0.25">
      <c r="H91" s="311" t="s">
        <v>475</v>
      </c>
      <c r="I91" s="311"/>
      <c r="J91" s="84">
        <f>ROUND(J12+J17+J26+J31+J40+J47+J50+J53+J56+J65+J68+J71+J76+J79+J86+J89,1)</f>
        <v>0</v>
      </c>
    </row>
    <row r="92" spans="1:74" x14ac:dyDescent="0.25">
      <c r="A92" s="85" t="s">
        <v>138</v>
      </c>
    </row>
    <row r="93" spans="1:74" ht="27" customHeight="1" x14ac:dyDescent="0.25">
      <c r="A93" s="306" t="s">
        <v>953</v>
      </c>
      <c r="B93" s="307"/>
      <c r="C93" s="307"/>
      <c r="D93" s="307"/>
      <c r="E93" s="307"/>
      <c r="F93" s="307"/>
      <c r="G93" s="307"/>
      <c r="H93" s="307"/>
      <c r="I93" s="307"/>
      <c r="J93" s="307"/>
      <c r="K93" s="307"/>
      <c r="L93" s="307"/>
      <c r="M93" s="307"/>
    </row>
  </sheetData>
  <sheetProtection algorithmName="SHA-512" hashValue="ho3zGxB4pTVtdtjJdW0vS5X+empAWS+osSZH+NJZHSjnb5oD9L180Y9ilvdHHSZe1JGQYlrztMCOvQbX1uKocg==" saltValue="FzN8w1Gp/124LVBdkl7zOw==" spinCount="100000" sheet="1" formatCells="0" formatColumns="0" formatRows="0" insertColumns="0" insertRows="0" insertHyperlinks="0"/>
  <mergeCells count="110">
    <mergeCell ref="C89:D89"/>
    <mergeCell ref="C90:D90"/>
    <mergeCell ref="H91:I91"/>
    <mergeCell ref="A93:M93"/>
    <mergeCell ref="C83:D83"/>
    <mergeCell ref="C84:M84"/>
    <mergeCell ref="C85:D85"/>
    <mergeCell ref="C86:D86"/>
    <mergeCell ref="C87:D87"/>
    <mergeCell ref="C88:D88"/>
    <mergeCell ref="C77:D77"/>
    <mergeCell ref="C78:M78"/>
    <mergeCell ref="C79:D79"/>
    <mergeCell ref="C80:D80"/>
    <mergeCell ref="C81:D81"/>
    <mergeCell ref="C82:M82"/>
    <mergeCell ref="C71:D71"/>
    <mergeCell ref="C72:D72"/>
    <mergeCell ref="C73:M73"/>
    <mergeCell ref="C74:D74"/>
    <mergeCell ref="C75:M75"/>
    <mergeCell ref="C76:D76"/>
    <mergeCell ref="C65:D65"/>
    <mergeCell ref="C66:D66"/>
    <mergeCell ref="C67:M67"/>
    <mergeCell ref="C68:D68"/>
    <mergeCell ref="C69:D69"/>
    <mergeCell ref="C70:M70"/>
    <mergeCell ref="C59:D59"/>
    <mergeCell ref="C60:M60"/>
    <mergeCell ref="C61:D61"/>
    <mergeCell ref="C62:M62"/>
    <mergeCell ref="C63:D63"/>
    <mergeCell ref="C64:M64"/>
    <mergeCell ref="C53:D53"/>
    <mergeCell ref="C54:D54"/>
    <mergeCell ref="C55:M55"/>
    <mergeCell ref="C56:D56"/>
    <mergeCell ref="C57:D57"/>
    <mergeCell ref="C58:M58"/>
    <mergeCell ref="C47:D47"/>
    <mergeCell ref="C48:D48"/>
    <mergeCell ref="C49:M49"/>
    <mergeCell ref="C50:D50"/>
    <mergeCell ref="C51:D51"/>
    <mergeCell ref="C52:M52"/>
    <mergeCell ref="C41:D41"/>
    <mergeCell ref="C42:M42"/>
    <mergeCell ref="C43:D43"/>
    <mergeCell ref="C44:M44"/>
    <mergeCell ref="C45:D45"/>
    <mergeCell ref="C46:M46"/>
    <mergeCell ref="C35:M35"/>
    <mergeCell ref="C36:D36"/>
    <mergeCell ref="C37:M37"/>
    <mergeCell ref="C38:D38"/>
    <mergeCell ref="C39:M39"/>
    <mergeCell ref="C40:D40"/>
    <mergeCell ref="C29:D29"/>
    <mergeCell ref="C30:M30"/>
    <mergeCell ref="C31:D31"/>
    <mergeCell ref="C32:D32"/>
    <mergeCell ref="C33:M33"/>
    <mergeCell ref="C34:D34"/>
    <mergeCell ref="C23:M23"/>
    <mergeCell ref="C24:D24"/>
    <mergeCell ref="C25:M25"/>
    <mergeCell ref="C26:D26"/>
    <mergeCell ref="C27:D27"/>
    <mergeCell ref="C28:M28"/>
    <mergeCell ref="C17:D17"/>
    <mergeCell ref="C18:D18"/>
    <mergeCell ref="C19:M19"/>
    <mergeCell ref="C20:D20"/>
    <mergeCell ref="C21:M21"/>
    <mergeCell ref="C22:D22"/>
    <mergeCell ref="C11:D11"/>
    <mergeCell ref="C12:D12"/>
    <mergeCell ref="C13:D13"/>
    <mergeCell ref="C14:M14"/>
    <mergeCell ref="C15:D15"/>
    <mergeCell ref="C16:M16"/>
    <mergeCell ref="A8:B9"/>
    <mergeCell ref="C8:D9"/>
    <mergeCell ref="E8:F9"/>
    <mergeCell ref="G8:G9"/>
    <mergeCell ref="C10:D10"/>
    <mergeCell ref="H10:J10"/>
    <mergeCell ref="K10:L10"/>
    <mergeCell ref="A4:B5"/>
    <mergeCell ref="C4:D5"/>
    <mergeCell ref="E4:F5"/>
    <mergeCell ref="G4:G5"/>
    <mergeCell ref="A6:B7"/>
    <mergeCell ref="C6:D7"/>
    <mergeCell ref="E6:F7"/>
    <mergeCell ref="G6:G7"/>
    <mergeCell ref="H6:H7"/>
    <mergeCell ref="I6:M7"/>
    <mergeCell ref="H8:H9"/>
    <mergeCell ref="I8:M9"/>
    <mergeCell ref="A1:M1"/>
    <mergeCell ref="A2:B3"/>
    <mergeCell ref="C2:D3"/>
    <mergeCell ref="E2:F3"/>
    <mergeCell ref="G2:G3"/>
    <mergeCell ref="H2:H3"/>
    <mergeCell ref="I2:M3"/>
    <mergeCell ref="H4:H5"/>
    <mergeCell ref="I4:M5"/>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3" manualBreakCount="3">
    <brk id="23" max="12" man="1"/>
    <brk id="49" max="12" man="1"/>
    <brk id="78" max="12"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6B47D-F8C7-4B42-B82C-54EF9B267066}">
  <sheetPr codeName="List5">
    <pageSetUpPr fitToPage="1"/>
  </sheetPr>
  <dimension ref="A1:BV108"/>
  <sheetViews>
    <sheetView view="pageBreakPreview" zoomScale="55" zoomScaleNormal="40" zoomScaleSheetLayoutView="55" workbookViewId="0">
      <pane ySplit="11" topLeftCell="A12" activePane="bottomLeft" state="frozen"/>
      <selection activeCell="D44" sqref="D44"/>
      <selection pane="bottomLeft" activeCell="C44" sqref="C44:M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1232</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1143</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1070</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SUM(H13:H21)</f>
        <v>0</v>
      </c>
      <c r="I12" s="100">
        <f>SUM(I13:I21)</f>
        <v>0</v>
      </c>
      <c r="J12" s="100">
        <f>SUM(J13:J21)</f>
        <v>0</v>
      </c>
      <c r="K12" s="101" t="s">
        <v>129</v>
      </c>
      <c r="L12" s="100">
        <f>SUM(L13:L21)</f>
        <v>9.3371069999999996</v>
      </c>
      <c r="M12" s="102" t="s">
        <v>129</v>
      </c>
      <c r="AG12" s="71" t="s">
        <v>129</v>
      </c>
      <c r="AQ12" s="67">
        <f>SUM(AH13:AH21)</f>
        <v>0</v>
      </c>
      <c r="AR12" s="67">
        <f>SUM(AI13:AI21)</f>
        <v>0</v>
      </c>
      <c r="AS12" s="67">
        <f>SUM(AJ13:AJ21)</f>
        <v>0</v>
      </c>
    </row>
    <row r="13" spans="1:74" x14ac:dyDescent="0.25">
      <c r="A13" s="92" t="s">
        <v>132</v>
      </c>
      <c r="B13" s="69" t="s">
        <v>150</v>
      </c>
      <c r="C13" s="306" t="s">
        <v>151</v>
      </c>
      <c r="D13" s="307"/>
      <c r="E13" s="69" t="s">
        <v>145</v>
      </c>
      <c r="F13" s="77">
        <v>1.3</v>
      </c>
      <c r="G13" s="218">
        <v>0</v>
      </c>
      <c r="H13" s="77">
        <f>F13*AM13</f>
        <v>0</v>
      </c>
      <c r="I13" s="77">
        <f>F13*AN13</f>
        <v>0</v>
      </c>
      <c r="J13" s="77">
        <f>F13*G13</f>
        <v>0</v>
      </c>
      <c r="K13" s="77">
        <v>2.478E-2</v>
      </c>
      <c r="L13" s="77">
        <f>F13*K13</f>
        <v>3.2214E-2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G13*0.057575431</f>
        <v>0</v>
      </c>
      <c r="AN13" s="77">
        <f>G13*(1-0.057575431)</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3.2214E-2</v>
      </c>
      <c r="BF13" s="77">
        <f>F13*AM13</f>
        <v>0</v>
      </c>
      <c r="BG13" s="77">
        <f>F13*AN13</f>
        <v>0</v>
      </c>
      <c r="BH13" s="77">
        <f>F13*G13</f>
        <v>0</v>
      </c>
      <c r="BI13" s="77"/>
      <c r="BJ13" s="77">
        <v>11</v>
      </c>
      <c r="BU13" s="77" t="e">
        <f>#REF!</f>
        <v>#REF!</v>
      </c>
      <c r="BV13" s="70" t="s">
        <v>151</v>
      </c>
    </row>
    <row r="14" spans="1:74" ht="40.5" customHeight="1" x14ac:dyDescent="0.25">
      <c r="A14" s="104"/>
      <c r="B14" s="81" t="s">
        <v>138</v>
      </c>
      <c r="C14" s="303" t="s">
        <v>1071</v>
      </c>
      <c r="D14" s="304"/>
      <c r="E14" s="304"/>
      <c r="F14" s="304"/>
      <c r="G14" s="304"/>
      <c r="H14" s="304"/>
      <c r="I14" s="304"/>
      <c r="J14" s="304"/>
      <c r="K14" s="304"/>
      <c r="L14" s="304"/>
      <c r="M14" s="305"/>
    </row>
    <row r="15" spans="1:74" x14ac:dyDescent="0.25">
      <c r="A15" s="92" t="s">
        <v>142</v>
      </c>
      <c r="B15" s="69" t="s">
        <v>143</v>
      </c>
      <c r="C15" s="306" t="s">
        <v>144</v>
      </c>
      <c r="D15" s="307"/>
      <c r="E15" s="69" t="s">
        <v>145</v>
      </c>
      <c r="F15" s="77">
        <v>1.3</v>
      </c>
      <c r="G15" s="218">
        <v>0</v>
      </c>
      <c r="H15" s="77">
        <f>F15*AM15</f>
        <v>0</v>
      </c>
      <c r="I15" s="77">
        <f>F15*AN15</f>
        <v>0</v>
      </c>
      <c r="J15" s="77">
        <f>F15*G15</f>
        <v>0</v>
      </c>
      <c r="K15" s="77">
        <v>8.6899999999999998E-3</v>
      </c>
      <c r="L15" s="77">
        <f>F15*K15</f>
        <v>1.1297E-2</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G15*0.061948586</f>
        <v>0</v>
      </c>
      <c r="AN15" s="77">
        <f>G15*(1-0.061948586)</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1.1297E-2</v>
      </c>
      <c r="BF15" s="77">
        <f>F15*AM15</f>
        <v>0</v>
      </c>
      <c r="BG15" s="77">
        <f>F15*AN15</f>
        <v>0</v>
      </c>
      <c r="BH15" s="77">
        <f>F15*G15</f>
        <v>0</v>
      </c>
      <c r="BI15" s="77"/>
      <c r="BJ15" s="77">
        <v>11</v>
      </c>
      <c r="BU15" s="77" t="e">
        <f>#REF!</f>
        <v>#REF!</v>
      </c>
      <c r="BV15" s="70" t="s">
        <v>144</v>
      </c>
    </row>
    <row r="16" spans="1:74" ht="40.5" customHeight="1" x14ac:dyDescent="0.25">
      <c r="A16" s="104"/>
      <c r="B16" s="81" t="s">
        <v>138</v>
      </c>
      <c r="C16" s="303" t="s">
        <v>1144</v>
      </c>
      <c r="D16" s="304"/>
      <c r="E16" s="304"/>
      <c r="F16" s="304"/>
      <c r="G16" s="304"/>
      <c r="H16" s="304"/>
      <c r="I16" s="304"/>
      <c r="J16" s="304"/>
      <c r="K16" s="304"/>
      <c r="L16" s="304"/>
      <c r="M16" s="305"/>
    </row>
    <row r="17" spans="1:74" x14ac:dyDescent="0.25">
      <c r="A17" s="92" t="s">
        <v>149</v>
      </c>
      <c r="B17" s="69" t="s">
        <v>493</v>
      </c>
      <c r="C17" s="306" t="s">
        <v>494</v>
      </c>
      <c r="D17" s="307"/>
      <c r="E17" s="69" t="s">
        <v>166</v>
      </c>
      <c r="F17" s="77">
        <v>5.46</v>
      </c>
      <c r="G17" s="218">
        <v>0</v>
      </c>
      <c r="H17" s="77">
        <f>F17*AM17</f>
        <v>0</v>
      </c>
      <c r="I17" s="77">
        <f>F17*AN17</f>
        <v>0</v>
      </c>
      <c r="J17" s="77">
        <f>F17*G17</f>
        <v>0</v>
      </c>
      <c r="K17" s="77">
        <v>0.90010000000000001</v>
      </c>
      <c r="L17" s="77">
        <f>F17*K17</f>
        <v>4.9145459999999996</v>
      </c>
      <c r="M17" s="103" t="s">
        <v>35</v>
      </c>
      <c r="X17" s="77">
        <f>IF(AO17="5",BH17,0)</f>
        <v>0</v>
      </c>
      <c r="Z17" s="77">
        <f>IF(AO17="1",BF17,0)</f>
        <v>0</v>
      </c>
      <c r="AA17" s="77">
        <f>IF(AO17="1",BG17,0)</f>
        <v>0</v>
      </c>
      <c r="AB17" s="77">
        <f>IF(AO17="7",BF17,0)</f>
        <v>0</v>
      </c>
      <c r="AC17" s="77">
        <f>IF(AO17="7",BG17,0)</f>
        <v>0</v>
      </c>
      <c r="AD17" s="77">
        <f>IF(AO17="2",BF17,0)</f>
        <v>0</v>
      </c>
      <c r="AE17" s="77">
        <f>IF(AO17="2",BG17,0)</f>
        <v>0</v>
      </c>
      <c r="AF17" s="77">
        <f>IF(AO17="0",BH17,0)</f>
        <v>0</v>
      </c>
      <c r="AG17" s="71" t="s">
        <v>129</v>
      </c>
      <c r="AH17" s="77">
        <f>IF(AL17=0,J17,0)</f>
        <v>0</v>
      </c>
      <c r="AI17" s="77">
        <f>IF(AL17=15,J17,0)</f>
        <v>0</v>
      </c>
      <c r="AJ17" s="77">
        <f>IF(AL17=21,J17,0)</f>
        <v>0</v>
      </c>
      <c r="AL17" s="77">
        <v>15</v>
      </c>
      <c r="AM17" s="77">
        <f>G17*0.00661123</f>
        <v>0</v>
      </c>
      <c r="AN17" s="77">
        <f>G17*(1-0.00661123)</f>
        <v>0</v>
      </c>
      <c r="AO17" s="79" t="s">
        <v>132</v>
      </c>
      <c r="AT17" s="77">
        <f>AU17+AV17</f>
        <v>0</v>
      </c>
      <c r="AU17" s="77">
        <f>F17*AM17</f>
        <v>0</v>
      </c>
      <c r="AV17" s="77">
        <f>F17*AN17</f>
        <v>0</v>
      </c>
      <c r="AW17" s="79" t="s">
        <v>146</v>
      </c>
      <c r="AX17" s="79" t="s">
        <v>147</v>
      </c>
      <c r="AY17" s="71" t="s">
        <v>137</v>
      </c>
      <c r="BA17" s="77">
        <f>AU17+AV17</f>
        <v>0</v>
      </c>
      <c r="BB17" s="77">
        <f>G17/(100-BC17)*100</f>
        <v>0</v>
      </c>
      <c r="BC17" s="77">
        <v>0</v>
      </c>
      <c r="BD17" s="77">
        <f>L17</f>
        <v>4.9145459999999996</v>
      </c>
      <c r="BF17" s="77">
        <f>F17*AM17</f>
        <v>0</v>
      </c>
      <c r="BG17" s="77">
        <f>F17*AN17</f>
        <v>0</v>
      </c>
      <c r="BH17" s="77">
        <f>F17*G17</f>
        <v>0</v>
      </c>
      <c r="BI17" s="77"/>
      <c r="BJ17" s="77">
        <v>11</v>
      </c>
      <c r="BU17" s="77" t="e">
        <f>#REF!</f>
        <v>#REF!</v>
      </c>
      <c r="BV17" s="70" t="s">
        <v>494</v>
      </c>
    </row>
    <row r="18" spans="1:74" ht="162" customHeight="1" x14ac:dyDescent="0.25">
      <c r="A18" s="104"/>
      <c r="B18" s="81" t="s">
        <v>138</v>
      </c>
      <c r="C18" s="303" t="s">
        <v>1145</v>
      </c>
      <c r="D18" s="304"/>
      <c r="E18" s="304"/>
      <c r="F18" s="304"/>
      <c r="G18" s="304"/>
      <c r="H18" s="304"/>
      <c r="I18" s="304"/>
      <c r="J18" s="304"/>
      <c r="K18" s="304"/>
      <c r="L18" s="304"/>
      <c r="M18" s="305"/>
    </row>
    <row r="19" spans="1:74" ht="25.5" x14ac:dyDescent="0.25">
      <c r="A19" s="92" t="s">
        <v>153</v>
      </c>
      <c r="B19" s="69" t="s">
        <v>987</v>
      </c>
      <c r="C19" s="306" t="s">
        <v>988</v>
      </c>
      <c r="D19" s="307"/>
      <c r="E19" s="69" t="s">
        <v>166</v>
      </c>
      <c r="F19" s="77">
        <v>2.41</v>
      </c>
      <c r="G19" s="218">
        <v>0</v>
      </c>
      <c r="H19" s="77">
        <f>F19*AM19</f>
        <v>0</v>
      </c>
      <c r="I19" s="77">
        <f>F19*AN19</f>
        <v>0</v>
      </c>
      <c r="J19" s="77">
        <f>F19*G19</f>
        <v>0</v>
      </c>
      <c r="K19" s="77">
        <v>1.105</v>
      </c>
      <c r="L19" s="77">
        <f>F19*K19</f>
        <v>2.6630500000000001</v>
      </c>
      <c r="M19" s="103" t="s">
        <v>35</v>
      </c>
      <c r="X19" s="77">
        <f>IF(AO19="5",BH19,0)</f>
        <v>0</v>
      </c>
      <c r="Z19" s="77">
        <f>IF(AO19="1",BF19,0)</f>
        <v>0</v>
      </c>
      <c r="AA19" s="77">
        <f>IF(AO19="1",BG19,0)</f>
        <v>0</v>
      </c>
      <c r="AB19" s="77">
        <f>IF(AO19="7",BF19,0)</f>
        <v>0</v>
      </c>
      <c r="AC19" s="77">
        <f>IF(AO19="7",BG19,0)</f>
        <v>0</v>
      </c>
      <c r="AD19" s="77">
        <f>IF(AO19="2",BF19,0)</f>
        <v>0</v>
      </c>
      <c r="AE19" s="77">
        <f>IF(AO19="2",BG19,0)</f>
        <v>0</v>
      </c>
      <c r="AF19" s="77">
        <f>IF(AO19="0",BH19,0)</f>
        <v>0</v>
      </c>
      <c r="AG19" s="71" t="s">
        <v>129</v>
      </c>
      <c r="AH19" s="77">
        <f>IF(AL19=0,J19,0)</f>
        <v>0</v>
      </c>
      <c r="AI19" s="77">
        <f>IF(AL19=15,J19,0)</f>
        <v>0</v>
      </c>
      <c r="AJ19" s="77">
        <f>IF(AL19=21,J19,0)</f>
        <v>0</v>
      </c>
      <c r="AL19" s="77">
        <v>15</v>
      </c>
      <c r="AM19" s="77">
        <f>G19*0</f>
        <v>0</v>
      </c>
      <c r="AN19" s="77">
        <f>G19*(1-0)</f>
        <v>0</v>
      </c>
      <c r="AO19" s="79" t="s">
        <v>132</v>
      </c>
      <c r="AT19" s="77">
        <f>AU19+AV19</f>
        <v>0</v>
      </c>
      <c r="AU19" s="77">
        <f>F19*AM19</f>
        <v>0</v>
      </c>
      <c r="AV19" s="77">
        <f>F19*AN19</f>
        <v>0</v>
      </c>
      <c r="AW19" s="79" t="s">
        <v>146</v>
      </c>
      <c r="AX19" s="79" t="s">
        <v>147</v>
      </c>
      <c r="AY19" s="71" t="s">
        <v>137</v>
      </c>
      <c r="BA19" s="77">
        <f>AU19+AV19</f>
        <v>0</v>
      </c>
      <c r="BB19" s="77">
        <f>G19/(100-BC19)*100</f>
        <v>0</v>
      </c>
      <c r="BC19" s="77">
        <v>0</v>
      </c>
      <c r="BD19" s="77">
        <f>L19</f>
        <v>2.6630500000000001</v>
      </c>
      <c r="BF19" s="77">
        <f>F19*AM19</f>
        <v>0</v>
      </c>
      <c r="BG19" s="77">
        <f>F19*AN19</f>
        <v>0</v>
      </c>
      <c r="BH19" s="77">
        <f>F19*G19</f>
        <v>0</v>
      </c>
      <c r="BI19" s="77"/>
      <c r="BJ19" s="77">
        <v>11</v>
      </c>
      <c r="BU19" s="77" t="e">
        <f>#REF!</f>
        <v>#REF!</v>
      </c>
      <c r="BV19" s="70" t="s">
        <v>988</v>
      </c>
    </row>
    <row r="20" spans="1:74" ht="121.5" customHeight="1" x14ac:dyDescent="0.25">
      <c r="A20" s="104"/>
      <c r="B20" s="81" t="s">
        <v>138</v>
      </c>
      <c r="C20" s="303" t="s">
        <v>989</v>
      </c>
      <c r="D20" s="304"/>
      <c r="E20" s="304"/>
      <c r="F20" s="304"/>
      <c r="G20" s="304"/>
      <c r="H20" s="304"/>
      <c r="I20" s="304"/>
      <c r="J20" s="304"/>
      <c r="K20" s="304"/>
      <c r="L20" s="304"/>
      <c r="M20" s="305"/>
    </row>
    <row r="21" spans="1:74" x14ac:dyDescent="0.25">
      <c r="A21" s="92" t="s">
        <v>158</v>
      </c>
      <c r="B21" s="69" t="s">
        <v>819</v>
      </c>
      <c r="C21" s="306" t="s">
        <v>990</v>
      </c>
      <c r="D21" s="307"/>
      <c r="E21" s="69" t="s">
        <v>166</v>
      </c>
      <c r="F21" s="77">
        <v>5.2</v>
      </c>
      <c r="G21" s="218">
        <v>0</v>
      </c>
      <c r="H21" s="77">
        <f>F21*AM21</f>
        <v>0</v>
      </c>
      <c r="I21" s="77">
        <f>F21*AN21</f>
        <v>0</v>
      </c>
      <c r="J21" s="77">
        <f>F21*G21</f>
        <v>0</v>
      </c>
      <c r="K21" s="77">
        <v>0.33</v>
      </c>
      <c r="L21" s="77">
        <f>F21*K21</f>
        <v>1.7160000000000002</v>
      </c>
      <c r="M21" s="103" t="s">
        <v>35</v>
      </c>
      <c r="X21" s="77">
        <f>IF(AO21="5",BH21,0)</f>
        <v>0</v>
      </c>
      <c r="Z21" s="77">
        <f>IF(AO21="1",BF21,0)</f>
        <v>0</v>
      </c>
      <c r="AA21" s="77">
        <f>IF(AO21="1",BG21,0)</f>
        <v>0</v>
      </c>
      <c r="AB21" s="77">
        <f>IF(AO21="7",BF21,0)</f>
        <v>0</v>
      </c>
      <c r="AC21" s="77">
        <f>IF(AO21="7",BG21,0)</f>
        <v>0</v>
      </c>
      <c r="AD21" s="77">
        <f>IF(AO21="2",BF21,0)</f>
        <v>0</v>
      </c>
      <c r="AE21" s="77">
        <f>IF(AO21="2",BG21,0)</f>
        <v>0</v>
      </c>
      <c r="AF21" s="77">
        <f>IF(AO21="0",BH21,0)</f>
        <v>0</v>
      </c>
      <c r="AG21" s="71" t="s">
        <v>129</v>
      </c>
      <c r="AH21" s="77">
        <f>IF(AL21=0,J21,0)</f>
        <v>0</v>
      </c>
      <c r="AI21" s="77">
        <f>IF(AL21=15,J21,0)</f>
        <v>0</v>
      </c>
      <c r="AJ21" s="77">
        <f>IF(AL21=21,J21,0)</f>
        <v>0</v>
      </c>
      <c r="AL21" s="77">
        <v>15</v>
      </c>
      <c r="AM21" s="77">
        <f>G21*0</f>
        <v>0</v>
      </c>
      <c r="AN21" s="77">
        <f>G21*(1-0)</f>
        <v>0</v>
      </c>
      <c r="AO21" s="79" t="s">
        <v>132</v>
      </c>
      <c r="AT21" s="77">
        <f>AU21+AV21</f>
        <v>0</v>
      </c>
      <c r="AU21" s="77">
        <f>F21*AM21</f>
        <v>0</v>
      </c>
      <c r="AV21" s="77">
        <f>F21*AN21</f>
        <v>0</v>
      </c>
      <c r="AW21" s="79" t="s">
        <v>146</v>
      </c>
      <c r="AX21" s="79" t="s">
        <v>147</v>
      </c>
      <c r="AY21" s="71" t="s">
        <v>137</v>
      </c>
      <c r="BA21" s="77">
        <f>AU21+AV21</f>
        <v>0</v>
      </c>
      <c r="BB21" s="77">
        <f>G21/(100-BC21)*100</f>
        <v>0</v>
      </c>
      <c r="BC21" s="77">
        <v>0</v>
      </c>
      <c r="BD21" s="77">
        <f>L21</f>
        <v>1.7160000000000002</v>
      </c>
      <c r="BF21" s="77">
        <f>F21*AM21</f>
        <v>0</v>
      </c>
      <c r="BG21" s="77">
        <f>F21*AN21</f>
        <v>0</v>
      </c>
      <c r="BH21" s="77">
        <f>F21*G21</f>
        <v>0</v>
      </c>
      <c r="BI21" s="77"/>
      <c r="BJ21" s="77">
        <v>11</v>
      </c>
      <c r="BU21" s="77" t="e">
        <f>#REF!</f>
        <v>#REF!</v>
      </c>
      <c r="BV21" s="70" t="s">
        <v>990</v>
      </c>
    </row>
    <row r="22" spans="1:74" ht="67.5" customHeight="1" x14ac:dyDescent="0.25">
      <c r="A22" s="104"/>
      <c r="B22" s="81" t="s">
        <v>138</v>
      </c>
      <c r="C22" s="303" t="s">
        <v>1205</v>
      </c>
      <c r="D22" s="304"/>
      <c r="E22" s="304"/>
      <c r="F22" s="304"/>
      <c r="G22" s="304"/>
      <c r="H22" s="304"/>
      <c r="I22" s="304"/>
      <c r="J22" s="304"/>
      <c r="K22" s="304"/>
      <c r="L22" s="304"/>
      <c r="M22" s="305"/>
    </row>
    <row r="23" spans="1:74" x14ac:dyDescent="0.25">
      <c r="A23" s="105" t="s">
        <v>129</v>
      </c>
      <c r="B23" s="74" t="s">
        <v>172</v>
      </c>
      <c r="C23" s="314" t="s">
        <v>173</v>
      </c>
      <c r="D23" s="315"/>
      <c r="E23" s="75" t="s">
        <v>87</v>
      </c>
      <c r="F23" s="75" t="s">
        <v>87</v>
      </c>
      <c r="G23" s="75" t="s">
        <v>87</v>
      </c>
      <c r="H23" s="67">
        <f>SUM(H24:H24)</f>
        <v>0</v>
      </c>
      <c r="I23" s="67">
        <f>SUM(I24:I24)</f>
        <v>0</v>
      </c>
      <c r="J23" s="67">
        <f>SUM(J24:J24)</f>
        <v>0</v>
      </c>
      <c r="K23" s="71" t="s">
        <v>129</v>
      </c>
      <c r="L23" s="67">
        <f>SUM(L24:L24)</f>
        <v>0</v>
      </c>
      <c r="M23" s="106" t="s">
        <v>129</v>
      </c>
      <c r="AG23" s="71" t="s">
        <v>129</v>
      </c>
      <c r="AQ23" s="67">
        <f>SUM(AH24:AH24)</f>
        <v>0</v>
      </c>
      <c r="AR23" s="67">
        <f>SUM(AI24:AI24)</f>
        <v>0</v>
      </c>
      <c r="AS23" s="67">
        <f>SUM(AJ24:AJ24)</f>
        <v>0</v>
      </c>
    </row>
    <row r="24" spans="1:74" x14ac:dyDescent="0.25">
      <c r="A24" s="92" t="s">
        <v>163</v>
      </c>
      <c r="B24" s="69" t="s">
        <v>175</v>
      </c>
      <c r="C24" s="306" t="s">
        <v>176</v>
      </c>
      <c r="D24" s="307"/>
      <c r="E24" s="69" t="s">
        <v>177</v>
      </c>
      <c r="F24" s="77">
        <v>0.5</v>
      </c>
      <c r="G24" s="218">
        <v>0</v>
      </c>
      <c r="H24" s="77">
        <f>F24*AM24</f>
        <v>0</v>
      </c>
      <c r="I24" s="77">
        <f>F24*AN24</f>
        <v>0</v>
      </c>
      <c r="J24" s="77">
        <f>F24*G24</f>
        <v>0</v>
      </c>
      <c r="K24" s="77">
        <v>0</v>
      </c>
      <c r="L24" s="77">
        <f>F24*K24</f>
        <v>0</v>
      </c>
      <c r="M24" s="103" t="s">
        <v>35</v>
      </c>
      <c r="X24" s="77">
        <f>IF(AO24="5",BH24,0)</f>
        <v>0</v>
      </c>
      <c r="Z24" s="77">
        <f>IF(AO24="1",BF24,0)</f>
        <v>0</v>
      </c>
      <c r="AA24" s="77">
        <f>IF(AO24="1",BG24,0)</f>
        <v>0</v>
      </c>
      <c r="AB24" s="77">
        <f>IF(AO24="7",BF24,0)</f>
        <v>0</v>
      </c>
      <c r="AC24" s="77">
        <f>IF(AO24="7",BG24,0)</f>
        <v>0</v>
      </c>
      <c r="AD24" s="77">
        <f>IF(AO24="2",BF24,0)</f>
        <v>0</v>
      </c>
      <c r="AE24" s="77">
        <f>IF(AO24="2",BG24,0)</f>
        <v>0</v>
      </c>
      <c r="AF24" s="77">
        <f>IF(AO24="0",BH24,0)</f>
        <v>0</v>
      </c>
      <c r="AG24" s="71" t="s">
        <v>129</v>
      </c>
      <c r="AH24" s="77">
        <f>IF(AL24=0,J24,0)</f>
        <v>0</v>
      </c>
      <c r="AI24" s="77">
        <f>IF(AL24=15,J24,0)</f>
        <v>0</v>
      </c>
      <c r="AJ24" s="77">
        <f>IF(AL24=21,J24,0)</f>
        <v>0</v>
      </c>
      <c r="AL24" s="77">
        <v>15</v>
      </c>
      <c r="AM24" s="77">
        <f>G24*0</f>
        <v>0</v>
      </c>
      <c r="AN24" s="77">
        <f>G24*(1-0)</f>
        <v>0</v>
      </c>
      <c r="AO24" s="79" t="s">
        <v>132</v>
      </c>
      <c r="AT24" s="77">
        <f>AU24+AV24</f>
        <v>0</v>
      </c>
      <c r="AU24" s="77">
        <f>F24*AM24</f>
        <v>0</v>
      </c>
      <c r="AV24" s="77">
        <f>F24*AN24</f>
        <v>0</v>
      </c>
      <c r="AW24" s="79" t="s">
        <v>178</v>
      </c>
      <c r="AX24" s="79" t="s">
        <v>147</v>
      </c>
      <c r="AY24" s="71" t="s">
        <v>137</v>
      </c>
      <c r="BA24" s="77">
        <f>AU24+AV24</f>
        <v>0</v>
      </c>
      <c r="BB24" s="77">
        <f>G24/(100-BC24)*100</f>
        <v>0</v>
      </c>
      <c r="BC24" s="77">
        <v>0</v>
      </c>
      <c r="BD24" s="77">
        <f>L24</f>
        <v>0</v>
      </c>
      <c r="BF24" s="77">
        <f>F24*AM24</f>
        <v>0</v>
      </c>
      <c r="BG24" s="77">
        <f>F24*AN24</f>
        <v>0</v>
      </c>
      <c r="BH24" s="77">
        <f>F24*G24</f>
        <v>0</v>
      </c>
      <c r="BI24" s="77"/>
      <c r="BJ24" s="77">
        <v>12</v>
      </c>
      <c r="BU24" s="77" t="e">
        <f>#REF!</f>
        <v>#REF!</v>
      </c>
      <c r="BV24" s="70" t="s">
        <v>176</v>
      </c>
    </row>
    <row r="25" spans="1:74" ht="40.5" customHeight="1" thickBot="1" x14ac:dyDescent="0.3">
      <c r="A25" s="107"/>
      <c r="B25" s="108" t="s">
        <v>138</v>
      </c>
      <c r="C25" s="308" t="s">
        <v>1146</v>
      </c>
      <c r="D25" s="309"/>
      <c r="E25" s="309"/>
      <c r="F25" s="309"/>
      <c r="G25" s="309"/>
      <c r="H25" s="309"/>
      <c r="I25" s="309"/>
      <c r="J25" s="309"/>
      <c r="K25" s="309"/>
      <c r="L25" s="309"/>
      <c r="M25" s="310"/>
    </row>
    <row r="26" spans="1:74" x14ac:dyDescent="0.25">
      <c r="A26" s="97" t="s">
        <v>129</v>
      </c>
      <c r="B26" s="98" t="s">
        <v>180</v>
      </c>
      <c r="C26" s="318" t="s">
        <v>181</v>
      </c>
      <c r="D26" s="319"/>
      <c r="E26" s="99" t="s">
        <v>87</v>
      </c>
      <c r="F26" s="99" t="s">
        <v>87</v>
      </c>
      <c r="G26" s="99" t="s">
        <v>87</v>
      </c>
      <c r="H26" s="100">
        <f>SUM(H27:H33)</f>
        <v>0</v>
      </c>
      <c r="I26" s="100">
        <f>SUM(I27:I33)</f>
        <v>0</v>
      </c>
      <c r="J26" s="100">
        <f>SUM(J27:J33)</f>
        <v>0</v>
      </c>
      <c r="K26" s="101" t="s">
        <v>129</v>
      </c>
      <c r="L26" s="100">
        <f>SUM(L27:L33)</f>
        <v>0</v>
      </c>
      <c r="M26" s="102" t="s">
        <v>129</v>
      </c>
      <c r="AG26" s="71" t="s">
        <v>129</v>
      </c>
      <c r="AQ26" s="67">
        <f>SUM(AH27:AH33)</f>
        <v>0</v>
      </c>
      <c r="AR26" s="67">
        <f>SUM(AI27:AI33)</f>
        <v>0</v>
      </c>
      <c r="AS26" s="67">
        <f>SUM(AJ27:AJ33)</f>
        <v>0</v>
      </c>
    </row>
    <row r="27" spans="1:74" x14ac:dyDescent="0.25">
      <c r="A27" s="92" t="s">
        <v>168</v>
      </c>
      <c r="B27" s="69" t="s">
        <v>825</v>
      </c>
      <c r="C27" s="306" t="s">
        <v>907</v>
      </c>
      <c r="D27" s="307"/>
      <c r="E27" s="69" t="s">
        <v>177</v>
      </c>
      <c r="F27" s="77">
        <v>3.2</v>
      </c>
      <c r="G27" s="218">
        <v>0</v>
      </c>
      <c r="H27" s="77">
        <f>F27*AM27</f>
        <v>0</v>
      </c>
      <c r="I27" s="77">
        <f>F27*AN27</f>
        <v>0</v>
      </c>
      <c r="J27" s="77">
        <f>F27*G27</f>
        <v>0</v>
      </c>
      <c r="K27" s="77">
        <v>0</v>
      </c>
      <c r="L27" s="77">
        <f>F27*K27</f>
        <v>0</v>
      </c>
      <c r="M27" s="103"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f>
        <v>0</v>
      </c>
      <c r="AN27" s="77">
        <f>G27*(1-0)</f>
        <v>0</v>
      </c>
      <c r="AO27" s="79" t="s">
        <v>132</v>
      </c>
      <c r="AT27" s="77">
        <f>AU27+AV27</f>
        <v>0</v>
      </c>
      <c r="AU27" s="77">
        <f>F27*AM27</f>
        <v>0</v>
      </c>
      <c r="AV27" s="77">
        <f>F27*AN27</f>
        <v>0</v>
      </c>
      <c r="AW27" s="79" t="s">
        <v>185</v>
      </c>
      <c r="AX27" s="79" t="s">
        <v>147</v>
      </c>
      <c r="AY27" s="71" t="s">
        <v>137</v>
      </c>
      <c r="BA27" s="77">
        <f>AU27+AV27</f>
        <v>0</v>
      </c>
      <c r="BB27" s="77">
        <f>G27/(100-BC27)*100</f>
        <v>0</v>
      </c>
      <c r="BC27" s="77">
        <v>0</v>
      </c>
      <c r="BD27" s="77">
        <f>L27</f>
        <v>0</v>
      </c>
      <c r="BF27" s="77">
        <f>F27*AM27</f>
        <v>0</v>
      </c>
      <c r="BG27" s="77">
        <f>F27*AN27</f>
        <v>0</v>
      </c>
      <c r="BH27" s="77">
        <f>F27*G27</f>
        <v>0</v>
      </c>
      <c r="BI27" s="77"/>
      <c r="BJ27" s="77">
        <v>13</v>
      </c>
      <c r="BU27" s="77" t="e">
        <f>#REF!</f>
        <v>#REF!</v>
      </c>
      <c r="BV27" s="70" t="s">
        <v>907</v>
      </c>
    </row>
    <row r="28" spans="1:74" ht="108" customHeight="1" x14ac:dyDescent="0.25">
      <c r="A28" s="104"/>
      <c r="B28" s="81" t="s">
        <v>138</v>
      </c>
      <c r="C28" s="303" t="s">
        <v>1147</v>
      </c>
      <c r="D28" s="304"/>
      <c r="E28" s="304"/>
      <c r="F28" s="304"/>
      <c r="G28" s="304"/>
      <c r="H28" s="304"/>
      <c r="I28" s="304"/>
      <c r="J28" s="304"/>
      <c r="K28" s="304"/>
      <c r="L28" s="304"/>
      <c r="M28" s="305"/>
    </row>
    <row r="29" spans="1:74" x14ac:dyDescent="0.25">
      <c r="A29" s="92" t="s">
        <v>174</v>
      </c>
      <c r="B29" s="69" t="s">
        <v>188</v>
      </c>
      <c r="C29" s="306" t="s">
        <v>909</v>
      </c>
      <c r="D29" s="307"/>
      <c r="E29" s="69" t="s">
        <v>177</v>
      </c>
      <c r="F29" s="77">
        <v>1.6</v>
      </c>
      <c r="G29" s="218">
        <v>0</v>
      </c>
      <c r="H29" s="77">
        <f>F29*AM29</f>
        <v>0</v>
      </c>
      <c r="I29" s="77">
        <f>F29*AN29</f>
        <v>0</v>
      </c>
      <c r="J29" s="77">
        <f>F29*G29</f>
        <v>0</v>
      </c>
      <c r="K29" s="77">
        <v>0</v>
      </c>
      <c r="L29" s="77">
        <f>F29*K29</f>
        <v>0</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185</v>
      </c>
      <c r="AX29" s="79" t="s">
        <v>147</v>
      </c>
      <c r="AY29" s="71" t="s">
        <v>137</v>
      </c>
      <c r="BA29" s="77">
        <f>AU29+AV29</f>
        <v>0</v>
      </c>
      <c r="BB29" s="77">
        <f>G29/(100-BC29)*100</f>
        <v>0</v>
      </c>
      <c r="BC29" s="77">
        <v>0</v>
      </c>
      <c r="BD29" s="77">
        <f>L29</f>
        <v>0</v>
      </c>
      <c r="BF29" s="77">
        <f>F29*AM29</f>
        <v>0</v>
      </c>
      <c r="BG29" s="77">
        <f>F29*AN29</f>
        <v>0</v>
      </c>
      <c r="BH29" s="77">
        <f>F29*G29</f>
        <v>0</v>
      </c>
      <c r="BI29" s="77"/>
      <c r="BJ29" s="77">
        <v>13</v>
      </c>
      <c r="BU29" s="77" t="e">
        <f>#REF!</f>
        <v>#REF!</v>
      </c>
      <c r="BV29" s="70" t="s">
        <v>909</v>
      </c>
    </row>
    <row r="30" spans="1:74" ht="40.5" customHeight="1" x14ac:dyDescent="0.25">
      <c r="A30" s="104"/>
      <c r="B30" s="81" t="s">
        <v>138</v>
      </c>
      <c r="C30" s="303" t="s">
        <v>1148</v>
      </c>
      <c r="D30" s="304"/>
      <c r="E30" s="304"/>
      <c r="F30" s="304"/>
      <c r="G30" s="304"/>
      <c r="H30" s="304"/>
      <c r="I30" s="304"/>
      <c r="J30" s="304"/>
      <c r="K30" s="304"/>
      <c r="L30" s="304"/>
      <c r="M30" s="305"/>
    </row>
    <row r="31" spans="1:74" x14ac:dyDescent="0.25">
      <c r="A31" s="92" t="s">
        <v>182</v>
      </c>
      <c r="B31" s="69" t="s">
        <v>829</v>
      </c>
      <c r="C31" s="306" t="s">
        <v>830</v>
      </c>
      <c r="D31" s="307"/>
      <c r="E31" s="69" t="s">
        <v>177</v>
      </c>
      <c r="F31" s="77">
        <v>3.2</v>
      </c>
      <c r="G31" s="218">
        <v>0</v>
      </c>
      <c r="H31" s="77">
        <f>F31*AM31</f>
        <v>0</v>
      </c>
      <c r="I31" s="77">
        <f>F31*AN31</f>
        <v>0</v>
      </c>
      <c r="J31" s="77">
        <f>F31*G31</f>
        <v>0</v>
      </c>
      <c r="K31" s="77">
        <v>0</v>
      </c>
      <c r="L31" s="77">
        <f>F31*K31</f>
        <v>0</v>
      </c>
      <c r="M31" s="103" t="s">
        <v>35</v>
      </c>
      <c r="X31" s="77">
        <f>IF(AO31="5",BH31,0)</f>
        <v>0</v>
      </c>
      <c r="Z31" s="77">
        <f>IF(AO31="1",BF31,0)</f>
        <v>0</v>
      </c>
      <c r="AA31" s="77">
        <f>IF(AO31="1",BG31,0)</f>
        <v>0</v>
      </c>
      <c r="AB31" s="77">
        <f>IF(AO31="7",BF31,0)</f>
        <v>0</v>
      </c>
      <c r="AC31" s="77">
        <f>IF(AO31="7",BG31,0)</f>
        <v>0</v>
      </c>
      <c r="AD31" s="77">
        <f>IF(AO31="2",BF31,0)</f>
        <v>0</v>
      </c>
      <c r="AE31" s="77">
        <f>IF(AO31="2",BG31,0)</f>
        <v>0</v>
      </c>
      <c r="AF31" s="77">
        <f>IF(AO31="0",BH31,0)</f>
        <v>0</v>
      </c>
      <c r="AG31" s="71" t="s">
        <v>129</v>
      </c>
      <c r="AH31" s="77">
        <f>IF(AL31=0,J31,0)</f>
        <v>0</v>
      </c>
      <c r="AI31" s="77">
        <f>IF(AL31=15,J31,0)</f>
        <v>0</v>
      </c>
      <c r="AJ31" s="77">
        <f>IF(AL31=21,J31,0)</f>
        <v>0</v>
      </c>
      <c r="AL31" s="77">
        <v>15</v>
      </c>
      <c r="AM31" s="77">
        <f>G31*0</f>
        <v>0</v>
      </c>
      <c r="AN31" s="77">
        <f>G31*(1-0)</f>
        <v>0</v>
      </c>
      <c r="AO31" s="79" t="s">
        <v>132</v>
      </c>
      <c r="AT31" s="77">
        <f>AU31+AV31</f>
        <v>0</v>
      </c>
      <c r="AU31" s="77">
        <f>F31*AM31</f>
        <v>0</v>
      </c>
      <c r="AV31" s="77">
        <f>F31*AN31</f>
        <v>0</v>
      </c>
      <c r="AW31" s="79" t="s">
        <v>185</v>
      </c>
      <c r="AX31" s="79" t="s">
        <v>147</v>
      </c>
      <c r="AY31" s="71" t="s">
        <v>137</v>
      </c>
      <c r="BA31" s="77">
        <f>AU31+AV31</f>
        <v>0</v>
      </c>
      <c r="BB31" s="77">
        <f>G31/(100-BC31)*100</f>
        <v>0</v>
      </c>
      <c r="BC31" s="77">
        <v>0</v>
      </c>
      <c r="BD31" s="77">
        <f>L31</f>
        <v>0</v>
      </c>
      <c r="BF31" s="77">
        <f>F31*AM31</f>
        <v>0</v>
      </c>
      <c r="BG31" s="77">
        <f>F31*AN31</f>
        <v>0</v>
      </c>
      <c r="BH31" s="77">
        <f>F31*G31</f>
        <v>0</v>
      </c>
      <c r="BI31" s="77"/>
      <c r="BJ31" s="77">
        <v>13</v>
      </c>
      <c r="BU31" s="77" t="e">
        <f>#REF!</f>
        <v>#REF!</v>
      </c>
      <c r="BV31" s="70" t="s">
        <v>830</v>
      </c>
    </row>
    <row r="32" spans="1:74" ht="108" customHeight="1" x14ac:dyDescent="0.25">
      <c r="A32" s="104"/>
      <c r="B32" s="81" t="s">
        <v>138</v>
      </c>
      <c r="C32" s="303" t="s">
        <v>1149</v>
      </c>
      <c r="D32" s="304"/>
      <c r="E32" s="304"/>
      <c r="F32" s="304"/>
      <c r="G32" s="304"/>
      <c r="H32" s="304"/>
      <c r="I32" s="304"/>
      <c r="J32" s="304"/>
      <c r="K32" s="304"/>
      <c r="L32" s="304"/>
      <c r="M32" s="305"/>
    </row>
    <row r="33" spans="1:74" x14ac:dyDescent="0.25">
      <c r="A33" s="92" t="s">
        <v>187</v>
      </c>
      <c r="B33" s="69" t="s">
        <v>194</v>
      </c>
      <c r="C33" s="306" t="s">
        <v>912</v>
      </c>
      <c r="D33" s="307"/>
      <c r="E33" s="69" t="s">
        <v>177</v>
      </c>
      <c r="F33" s="77">
        <v>0.8</v>
      </c>
      <c r="G33" s="218">
        <v>0</v>
      </c>
      <c r="H33" s="77">
        <f>F33*AM33</f>
        <v>0</v>
      </c>
      <c r="I33" s="77">
        <f>F33*AN33</f>
        <v>0</v>
      </c>
      <c r="J33" s="77">
        <f>F33*G33</f>
        <v>0</v>
      </c>
      <c r="K33" s="77">
        <v>0</v>
      </c>
      <c r="L33" s="77">
        <f>F33*K33</f>
        <v>0</v>
      </c>
      <c r="M33" s="103" t="s">
        <v>35</v>
      </c>
      <c r="X33" s="77">
        <f>IF(AO33="5",BH33,0)</f>
        <v>0</v>
      </c>
      <c r="Z33" s="77">
        <f>IF(AO33="1",BF33,0)</f>
        <v>0</v>
      </c>
      <c r="AA33" s="77">
        <f>IF(AO33="1",BG33,0)</f>
        <v>0</v>
      </c>
      <c r="AB33" s="77">
        <f>IF(AO33="7",BF33,0)</f>
        <v>0</v>
      </c>
      <c r="AC33" s="77">
        <f>IF(AO33="7",BG33,0)</f>
        <v>0</v>
      </c>
      <c r="AD33" s="77">
        <f>IF(AO33="2",BF33,0)</f>
        <v>0</v>
      </c>
      <c r="AE33" s="77">
        <f>IF(AO33="2",BG33,0)</f>
        <v>0</v>
      </c>
      <c r="AF33" s="77">
        <f>IF(AO33="0",BH33,0)</f>
        <v>0</v>
      </c>
      <c r="AG33" s="71" t="s">
        <v>129</v>
      </c>
      <c r="AH33" s="77">
        <f>IF(AL33=0,J33,0)</f>
        <v>0</v>
      </c>
      <c r="AI33" s="77">
        <f>IF(AL33=15,J33,0)</f>
        <v>0</v>
      </c>
      <c r="AJ33" s="77">
        <f>IF(AL33=21,J33,0)</f>
        <v>0</v>
      </c>
      <c r="AL33" s="77">
        <v>15</v>
      </c>
      <c r="AM33" s="77">
        <f>G33*0</f>
        <v>0</v>
      </c>
      <c r="AN33" s="77">
        <f>G33*(1-0)</f>
        <v>0</v>
      </c>
      <c r="AO33" s="79" t="s">
        <v>132</v>
      </c>
      <c r="AT33" s="77">
        <f>AU33+AV33</f>
        <v>0</v>
      </c>
      <c r="AU33" s="77">
        <f>F33*AM33</f>
        <v>0</v>
      </c>
      <c r="AV33" s="77">
        <f>F33*AN33</f>
        <v>0</v>
      </c>
      <c r="AW33" s="79" t="s">
        <v>185</v>
      </c>
      <c r="AX33" s="79" t="s">
        <v>147</v>
      </c>
      <c r="AY33" s="71" t="s">
        <v>137</v>
      </c>
      <c r="BA33" s="77">
        <f>AU33+AV33</f>
        <v>0</v>
      </c>
      <c r="BB33" s="77">
        <f>G33/(100-BC33)*100</f>
        <v>0</v>
      </c>
      <c r="BC33" s="77">
        <v>0</v>
      </c>
      <c r="BD33" s="77">
        <f>L33</f>
        <v>0</v>
      </c>
      <c r="BF33" s="77">
        <f>F33*AM33</f>
        <v>0</v>
      </c>
      <c r="BG33" s="77">
        <f>F33*AN33</f>
        <v>0</v>
      </c>
      <c r="BH33" s="77">
        <f>F33*G33</f>
        <v>0</v>
      </c>
      <c r="BI33" s="77"/>
      <c r="BJ33" s="77">
        <v>13</v>
      </c>
      <c r="BU33" s="77" t="e">
        <f>#REF!</f>
        <v>#REF!</v>
      </c>
      <c r="BV33" s="70" t="s">
        <v>912</v>
      </c>
    </row>
    <row r="34" spans="1:74" ht="40.5" customHeight="1" x14ac:dyDescent="0.25">
      <c r="A34" s="104"/>
      <c r="B34" s="81" t="s">
        <v>138</v>
      </c>
      <c r="C34" s="303" t="s">
        <v>1150</v>
      </c>
      <c r="D34" s="304"/>
      <c r="E34" s="304"/>
      <c r="F34" s="304"/>
      <c r="G34" s="304"/>
      <c r="H34" s="304"/>
      <c r="I34" s="304"/>
      <c r="J34" s="304"/>
      <c r="K34" s="304"/>
      <c r="L34" s="304"/>
      <c r="M34" s="305"/>
    </row>
    <row r="35" spans="1:74" x14ac:dyDescent="0.25">
      <c r="A35" s="105" t="s">
        <v>129</v>
      </c>
      <c r="B35" s="74" t="s">
        <v>204</v>
      </c>
      <c r="C35" s="314" t="s">
        <v>208</v>
      </c>
      <c r="D35" s="315"/>
      <c r="E35" s="75" t="s">
        <v>87</v>
      </c>
      <c r="F35" s="75" t="s">
        <v>87</v>
      </c>
      <c r="G35" s="75" t="s">
        <v>87</v>
      </c>
      <c r="H35" s="67">
        <f>SUM(H36:H38)</f>
        <v>0</v>
      </c>
      <c r="I35" s="67">
        <f>SUM(I36:I38)</f>
        <v>0</v>
      </c>
      <c r="J35" s="67">
        <f>SUM(J36:J38)</f>
        <v>0</v>
      </c>
      <c r="K35" s="71" t="s">
        <v>129</v>
      </c>
      <c r="L35" s="67">
        <f>SUM(L36:L38)</f>
        <v>8.2818000000000006E-3</v>
      </c>
      <c r="M35" s="106" t="s">
        <v>129</v>
      </c>
      <c r="AG35" s="71" t="s">
        <v>129</v>
      </c>
      <c r="AQ35" s="67">
        <f>SUM(AH36:AH38)</f>
        <v>0</v>
      </c>
      <c r="AR35" s="67">
        <f>SUM(AI36:AI38)</f>
        <v>0</v>
      </c>
      <c r="AS35" s="67">
        <f>SUM(AJ36:AJ38)</f>
        <v>0</v>
      </c>
    </row>
    <row r="36" spans="1:74" x14ac:dyDescent="0.25">
      <c r="A36" s="92" t="s">
        <v>140</v>
      </c>
      <c r="B36" s="69" t="s">
        <v>210</v>
      </c>
      <c r="C36" s="306" t="s">
        <v>211</v>
      </c>
      <c r="D36" s="307"/>
      <c r="E36" s="69" t="s">
        <v>166</v>
      </c>
      <c r="F36" s="77">
        <v>9.6300000000000008</v>
      </c>
      <c r="G36" s="218">
        <v>0</v>
      </c>
      <c r="H36" s="77">
        <f>F36*AM36</f>
        <v>0</v>
      </c>
      <c r="I36" s="77">
        <f>F36*AN36</f>
        <v>0</v>
      </c>
      <c r="J36" s="77">
        <f>F36*G36</f>
        <v>0</v>
      </c>
      <c r="K36" s="77">
        <v>8.5999999999999998E-4</v>
      </c>
      <c r="L36" s="77">
        <f>F36*K36</f>
        <v>8.2818000000000006E-3</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G36*0.088675329</f>
        <v>0</v>
      </c>
      <c r="AN36" s="77">
        <f>G36*(1-0.088675329)</f>
        <v>0</v>
      </c>
      <c r="AO36" s="79" t="s">
        <v>132</v>
      </c>
      <c r="AT36" s="77">
        <f>AU36+AV36</f>
        <v>0</v>
      </c>
      <c r="AU36" s="77">
        <f>F36*AM36</f>
        <v>0</v>
      </c>
      <c r="AV36" s="77">
        <f>F36*AN36</f>
        <v>0</v>
      </c>
      <c r="AW36" s="79" t="s">
        <v>212</v>
      </c>
      <c r="AX36" s="79" t="s">
        <v>147</v>
      </c>
      <c r="AY36" s="71" t="s">
        <v>137</v>
      </c>
      <c r="BA36" s="77">
        <f>AU36+AV36</f>
        <v>0</v>
      </c>
      <c r="BB36" s="77">
        <f>G36/(100-BC36)*100</f>
        <v>0</v>
      </c>
      <c r="BC36" s="77">
        <v>0</v>
      </c>
      <c r="BD36" s="77">
        <f>L36</f>
        <v>8.2818000000000006E-3</v>
      </c>
      <c r="BF36" s="77">
        <f>F36*AM36</f>
        <v>0</v>
      </c>
      <c r="BG36" s="77">
        <f>F36*AN36</f>
        <v>0</v>
      </c>
      <c r="BH36" s="77">
        <f>F36*G36</f>
        <v>0</v>
      </c>
      <c r="BI36" s="77"/>
      <c r="BJ36" s="77">
        <v>15</v>
      </c>
      <c r="BU36" s="77" t="e">
        <f>#REF!</f>
        <v>#REF!</v>
      </c>
      <c r="BV36" s="70" t="s">
        <v>211</v>
      </c>
    </row>
    <row r="37" spans="1:74" ht="40.5" customHeight="1" x14ac:dyDescent="0.25">
      <c r="A37" s="104"/>
      <c r="B37" s="81" t="s">
        <v>138</v>
      </c>
      <c r="C37" s="303" t="s">
        <v>1120</v>
      </c>
      <c r="D37" s="304"/>
      <c r="E37" s="304"/>
      <c r="F37" s="304"/>
      <c r="G37" s="304"/>
      <c r="H37" s="304"/>
      <c r="I37" s="304"/>
      <c r="J37" s="304"/>
      <c r="K37" s="304"/>
      <c r="L37" s="304"/>
      <c r="M37" s="305"/>
    </row>
    <row r="38" spans="1:74" x14ac:dyDescent="0.25">
      <c r="A38" s="92" t="s">
        <v>172</v>
      </c>
      <c r="B38" s="69" t="s">
        <v>215</v>
      </c>
      <c r="C38" s="306" t="s">
        <v>216</v>
      </c>
      <c r="D38" s="307"/>
      <c r="E38" s="69" t="s">
        <v>166</v>
      </c>
      <c r="F38" s="77">
        <v>9.6300000000000008</v>
      </c>
      <c r="G38" s="218">
        <v>0</v>
      </c>
      <c r="H38" s="77">
        <f>F38*AM38</f>
        <v>0</v>
      </c>
      <c r="I38" s="77">
        <f>F38*AN38</f>
        <v>0</v>
      </c>
      <c r="J38" s="77">
        <f>F38*G38</f>
        <v>0</v>
      </c>
      <c r="K38" s="77">
        <v>0</v>
      </c>
      <c r="L38" s="77">
        <f>F38*K38</f>
        <v>0</v>
      </c>
      <c r="M38" s="103" t="s">
        <v>35</v>
      </c>
      <c r="X38" s="77">
        <f>IF(AO38="5",BH38,0)</f>
        <v>0</v>
      </c>
      <c r="Z38" s="77">
        <f>IF(AO38="1",BF38,0)</f>
        <v>0</v>
      </c>
      <c r="AA38" s="77">
        <f>IF(AO38="1",BG38,0)</f>
        <v>0</v>
      </c>
      <c r="AB38" s="77">
        <f>IF(AO38="7",BF38,0)</f>
        <v>0</v>
      </c>
      <c r="AC38" s="77">
        <f>IF(AO38="7",BG38,0)</f>
        <v>0</v>
      </c>
      <c r="AD38" s="77">
        <f>IF(AO38="2",BF38,0)</f>
        <v>0</v>
      </c>
      <c r="AE38" s="77">
        <f>IF(AO38="2",BG38,0)</f>
        <v>0</v>
      </c>
      <c r="AF38" s="77">
        <f>IF(AO38="0",BH38,0)</f>
        <v>0</v>
      </c>
      <c r="AG38" s="71" t="s">
        <v>129</v>
      </c>
      <c r="AH38" s="77">
        <f>IF(AL38=0,J38,0)</f>
        <v>0</v>
      </c>
      <c r="AI38" s="77">
        <f>IF(AL38=15,J38,0)</f>
        <v>0</v>
      </c>
      <c r="AJ38" s="77">
        <f>IF(AL38=21,J38,0)</f>
        <v>0</v>
      </c>
      <c r="AL38" s="77">
        <v>15</v>
      </c>
      <c r="AM38" s="77">
        <f>G38*0</f>
        <v>0</v>
      </c>
      <c r="AN38" s="77">
        <f>G38*(1-0)</f>
        <v>0</v>
      </c>
      <c r="AO38" s="79" t="s">
        <v>132</v>
      </c>
      <c r="AT38" s="77">
        <f>AU38+AV38</f>
        <v>0</v>
      </c>
      <c r="AU38" s="77">
        <f>F38*AM38</f>
        <v>0</v>
      </c>
      <c r="AV38" s="77">
        <f>F38*AN38</f>
        <v>0</v>
      </c>
      <c r="AW38" s="79" t="s">
        <v>212</v>
      </c>
      <c r="AX38" s="79" t="s">
        <v>147</v>
      </c>
      <c r="AY38" s="71" t="s">
        <v>137</v>
      </c>
      <c r="BA38" s="77">
        <f>AU38+AV38</f>
        <v>0</v>
      </c>
      <c r="BB38" s="77">
        <f>G38/(100-BC38)*100</f>
        <v>0</v>
      </c>
      <c r="BC38" s="77">
        <v>0</v>
      </c>
      <c r="BD38" s="77">
        <f>L38</f>
        <v>0</v>
      </c>
      <c r="BF38" s="77">
        <f>F38*AM38</f>
        <v>0</v>
      </c>
      <c r="BG38" s="77">
        <f>F38*AN38</f>
        <v>0</v>
      </c>
      <c r="BH38" s="77">
        <f>F38*G38</f>
        <v>0</v>
      </c>
      <c r="BI38" s="77"/>
      <c r="BJ38" s="77">
        <v>15</v>
      </c>
      <c r="BU38" s="77" t="e">
        <f>#REF!</f>
        <v>#REF!</v>
      </c>
      <c r="BV38" s="70" t="s">
        <v>216</v>
      </c>
    </row>
    <row r="39" spans="1:74" ht="40.5" customHeight="1" x14ac:dyDescent="0.25">
      <c r="A39" s="104"/>
      <c r="B39" s="81" t="s">
        <v>138</v>
      </c>
      <c r="C39" s="303" t="s">
        <v>1121</v>
      </c>
      <c r="D39" s="304"/>
      <c r="E39" s="304"/>
      <c r="F39" s="304"/>
      <c r="G39" s="304"/>
      <c r="H39" s="304"/>
      <c r="I39" s="304"/>
      <c r="J39" s="304"/>
      <c r="K39" s="304"/>
      <c r="L39" s="304"/>
      <c r="M39" s="305"/>
    </row>
    <row r="40" spans="1:74" x14ac:dyDescent="0.25">
      <c r="A40" s="105" t="s">
        <v>129</v>
      </c>
      <c r="B40" s="74" t="s">
        <v>209</v>
      </c>
      <c r="C40" s="314" t="s">
        <v>218</v>
      </c>
      <c r="D40" s="315"/>
      <c r="E40" s="75" t="s">
        <v>87</v>
      </c>
      <c r="F40" s="75" t="s">
        <v>87</v>
      </c>
      <c r="G40" s="75" t="s">
        <v>87</v>
      </c>
      <c r="H40" s="67">
        <f>SUM(H41:H47)</f>
        <v>0</v>
      </c>
      <c r="I40" s="67">
        <f>SUM(I41:I47)</f>
        <v>0</v>
      </c>
      <c r="J40" s="67">
        <f>SUM(J41:J47)</f>
        <v>0</v>
      </c>
      <c r="K40" s="71" t="s">
        <v>129</v>
      </c>
      <c r="L40" s="67">
        <f>SUM(L41:L47)</f>
        <v>0</v>
      </c>
      <c r="M40" s="106" t="s">
        <v>129</v>
      </c>
      <c r="AG40" s="71" t="s">
        <v>129</v>
      </c>
      <c r="AQ40" s="67">
        <f>SUM(AH41:AH47)</f>
        <v>0</v>
      </c>
      <c r="AR40" s="67">
        <f>SUM(AI41:AI47)</f>
        <v>0</v>
      </c>
      <c r="AS40" s="67">
        <f>SUM(AJ41:AJ47)</f>
        <v>0</v>
      </c>
    </row>
    <row r="41" spans="1:74" x14ac:dyDescent="0.25">
      <c r="A41" s="92" t="s">
        <v>180</v>
      </c>
      <c r="B41" s="69" t="s">
        <v>220</v>
      </c>
      <c r="C41" s="306" t="s">
        <v>221</v>
      </c>
      <c r="D41" s="307"/>
      <c r="E41" s="69" t="s">
        <v>177</v>
      </c>
      <c r="F41" s="77">
        <v>3.2</v>
      </c>
      <c r="G41" s="218">
        <v>0</v>
      </c>
      <c r="H41" s="77">
        <f>F41*AM41</f>
        <v>0</v>
      </c>
      <c r="I41" s="77">
        <f>F41*AN41</f>
        <v>0</v>
      </c>
      <c r="J41" s="77">
        <f>F41*G41</f>
        <v>0</v>
      </c>
      <c r="K41" s="77">
        <v>0</v>
      </c>
      <c r="L41" s="77">
        <f>F41*K41</f>
        <v>0</v>
      </c>
      <c r="M41" s="103" t="s">
        <v>35</v>
      </c>
      <c r="X41" s="77">
        <f>IF(AO41="5",BH41,0)</f>
        <v>0</v>
      </c>
      <c r="Z41" s="77">
        <f>IF(AO41="1",BF41,0)</f>
        <v>0</v>
      </c>
      <c r="AA41" s="77">
        <f>IF(AO41="1",BG41,0)</f>
        <v>0</v>
      </c>
      <c r="AB41" s="77">
        <f>IF(AO41="7",BF41,0)</f>
        <v>0</v>
      </c>
      <c r="AC41" s="77">
        <f>IF(AO41="7",BG41,0)</f>
        <v>0</v>
      </c>
      <c r="AD41" s="77">
        <f>IF(AO41="2",BF41,0)</f>
        <v>0</v>
      </c>
      <c r="AE41" s="77">
        <f>IF(AO41="2",BG41,0)</f>
        <v>0</v>
      </c>
      <c r="AF41" s="77">
        <f>IF(AO41="0",BH41,0)</f>
        <v>0</v>
      </c>
      <c r="AG41" s="71" t="s">
        <v>129</v>
      </c>
      <c r="AH41" s="77">
        <f>IF(AL41=0,J41,0)</f>
        <v>0</v>
      </c>
      <c r="AI41" s="77">
        <f>IF(AL41=15,J41,0)</f>
        <v>0</v>
      </c>
      <c r="AJ41" s="77">
        <f>IF(AL41=21,J41,0)</f>
        <v>0</v>
      </c>
      <c r="AL41" s="77">
        <v>15</v>
      </c>
      <c r="AM41" s="77">
        <f>G41*0</f>
        <v>0</v>
      </c>
      <c r="AN41" s="77">
        <f>G41*(1-0)</f>
        <v>0</v>
      </c>
      <c r="AO41" s="79" t="s">
        <v>132</v>
      </c>
      <c r="AT41" s="77">
        <f>AU41+AV41</f>
        <v>0</v>
      </c>
      <c r="AU41" s="77">
        <f>F41*AM41</f>
        <v>0</v>
      </c>
      <c r="AV41" s="77">
        <f>F41*AN41</f>
        <v>0</v>
      </c>
      <c r="AW41" s="79" t="s">
        <v>222</v>
      </c>
      <c r="AX41" s="79" t="s">
        <v>147</v>
      </c>
      <c r="AY41" s="71" t="s">
        <v>137</v>
      </c>
      <c r="BA41" s="77">
        <f>AU41+AV41</f>
        <v>0</v>
      </c>
      <c r="BB41" s="77">
        <f>G41/(100-BC41)*100</f>
        <v>0</v>
      </c>
      <c r="BC41" s="77">
        <v>0</v>
      </c>
      <c r="BD41" s="77">
        <f>L41</f>
        <v>0</v>
      </c>
      <c r="BF41" s="77">
        <f>F41*AM41</f>
        <v>0</v>
      </c>
      <c r="BG41" s="77">
        <f>F41*AN41</f>
        <v>0</v>
      </c>
      <c r="BH41" s="77">
        <f>F41*G41</f>
        <v>0</v>
      </c>
      <c r="BI41" s="77"/>
      <c r="BJ41" s="77">
        <v>16</v>
      </c>
      <c r="BU41" s="77" t="e">
        <f>#REF!</f>
        <v>#REF!</v>
      </c>
      <c r="BV41" s="70" t="s">
        <v>221</v>
      </c>
    </row>
    <row r="42" spans="1:74" ht="67.5" customHeight="1" x14ac:dyDescent="0.25">
      <c r="A42" s="104"/>
      <c r="B42" s="81" t="s">
        <v>138</v>
      </c>
      <c r="C42" s="303" t="s">
        <v>1151</v>
      </c>
      <c r="D42" s="304"/>
      <c r="E42" s="304"/>
      <c r="F42" s="304"/>
      <c r="G42" s="304"/>
      <c r="H42" s="304"/>
      <c r="I42" s="304"/>
      <c r="J42" s="304"/>
      <c r="K42" s="304"/>
      <c r="L42" s="304"/>
      <c r="M42" s="305"/>
    </row>
    <row r="43" spans="1:74" x14ac:dyDescent="0.25">
      <c r="A43" s="92" t="s">
        <v>200</v>
      </c>
      <c r="B43" s="69" t="s">
        <v>918</v>
      </c>
      <c r="C43" s="306" t="s">
        <v>230</v>
      </c>
      <c r="D43" s="307"/>
      <c r="E43" s="69" t="s">
        <v>177</v>
      </c>
      <c r="F43" s="77">
        <v>2.41</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15</v>
      </c>
      <c r="AM43" s="77">
        <f>G43*0</f>
        <v>0</v>
      </c>
      <c r="AN43" s="77">
        <f>G43*(1-0)</f>
        <v>0</v>
      </c>
      <c r="AO43" s="79" t="s">
        <v>132</v>
      </c>
      <c r="AT43" s="77">
        <f>AU43+AV43</f>
        <v>0</v>
      </c>
      <c r="AU43" s="77">
        <f>F43*AM43</f>
        <v>0</v>
      </c>
      <c r="AV43" s="77">
        <f>F43*AN43</f>
        <v>0</v>
      </c>
      <c r="AW43" s="79" t="s">
        <v>222</v>
      </c>
      <c r="AX43" s="79" t="s">
        <v>147</v>
      </c>
      <c r="AY43" s="71" t="s">
        <v>137</v>
      </c>
      <c r="BA43" s="77">
        <f>AU43+AV43</f>
        <v>0</v>
      </c>
      <c r="BB43" s="77">
        <f>G43/(100-BC43)*100</f>
        <v>0</v>
      </c>
      <c r="BC43" s="77">
        <v>0</v>
      </c>
      <c r="BD43" s="77">
        <f>L43</f>
        <v>0</v>
      </c>
      <c r="BF43" s="77">
        <f>F43*AM43</f>
        <v>0</v>
      </c>
      <c r="BG43" s="77">
        <f>F43*AN43</f>
        <v>0</v>
      </c>
      <c r="BH43" s="77">
        <f>F43*G43</f>
        <v>0</v>
      </c>
      <c r="BI43" s="77"/>
      <c r="BJ43" s="77">
        <v>16</v>
      </c>
      <c r="BU43" s="77" t="e">
        <f>#REF!</f>
        <v>#REF!</v>
      </c>
      <c r="BV43" s="70" t="s">
        <v>230</v>
      </c>
    </row>
    <row r="44" spans="1:74" ht="67.5" customHeight="1" x14ac:dyDescent="0.25">
      <c r="A44" s="104"/>
      <c r="B44" s="81" t="s">
        <v>138</v>
      </c>
      <c r="C44" s="303" t="s">
        <v>1152</v>
      </c>
      <c r="D44" s="304"/>
      <c r="E44" s="304"/>
      <c r="F44" s="304"/>
      <c r="G44" s="304"/>
      <c r="H44" s="304"/>
      <c r="I44" s="304"/>
      <c r="J44" s="304"/>
      <c r="K44" s="304"/>
      <c r="L44" s="304"/>
      <c r="M44" s="305"/>
    </row>
    <row r="45" spans="1:74" x14ac:dyDescent="0.25">
      <c r="A45" s="92" t="s">
        <v>204</v>
      </c>
      <c r="B45" s="69" t="s">
        <v>840</v>
      </c>
      <c r="C45" s="306" t="s">
        <v>969</v>
      </c>
      <c r="D45" s="307"/>
      <c r="E45" s="69" t="s">
        <v>177</v>
      </c>
      <c r="F45" s="77">
        <v>7.98</v>
      </c>
      <c r="G45" s="218">
        <v>0</v>
      </c>
      <c r="H45" s="77">
        <f>F45*AM45</f>
        <v>0</v>
      </c>
      <c r="I45" s="77">
        <f>F45*AN45</f>
        <v>0</v>
      </c>
      <c r="J45" s="77">
        <f>F45*G45</f>
        <v>0</v>
      </c>
      <c r="K45" s="77">
        <v>0</v>
      </c>
      <c r="L45" s="77">
        <f>F45*K45</f>
        <v>0</v>
      </c>
      <c r="M45" s="103" t="s">
        <v>35</v>
      </c>
      <c r="X45" s="77">
        <f>IF(AO45="5",BH45,0)</f>
        <v>0</v>
      </c>
      <c r="Z45" s="77">
        <f>IF(AO45="1",BF45,0)</f>
        <v>0</v>
      </c>
      <c r="AA45" s="77">
        <f>IF(AO45="1",BG45,0)</f>
        <v>0</v>
      </c>
      <c r="AB45" s="77">
        <f>IF(AO45="7",BF45,0)</f>
        <v>0</v>
      </c>
      <c r="AC45" s="77">
        <f>IF(AO45="7",BG45,0)</f>
        <v>0</v>
      </c>
      <c r="AD45" s="77">
        <f>IF(AO45="2",BF45,0)</f>
        <v>0</v>
      </c>
      <c r="AE45" s="77">
        <f>IF(AO45="2",BG45,0)</f>
        <v>0</v>
      </c>
      <c r="AF45" s="77">
        <f>IF(AO45="0",BH45,0)</f>
        <v>0</v>
      </c>
      <c r="AG45" s="71" t="s">
        <v>129</v>
      </c>
      <c r="AH45" s="77">
        <f>IF(AL45=0,J45,0)</f>
        <v>0</v>
      </c>
      <c r="AI45" s="77">
        <f>IF(AL45=15,J45,0)</f>
        <v>0</v>
      </c>
      <c r="AJ45" s="77">
        <f>IF(AL45=21,J45,0)</f>
        <v>0</v>
      </c>
      <c r="AL45" s="77">
        <v>15</v>
      </c>
      <c r="AM45" s="77">
        <f>G45*0</f>
        <v>0</v>
      </c>
      <c r="AN45" s="77">
        <f>G45*(1-0)</f>
        <v>0</v>
      </c>
      <c r="AO45" s="79" t="s">
        <v>132</v>
      </c>
      <c r="AT45" s="77">
        <f>AU45+AV45</f>
        <v>0</v>
      </c>
      <c r="AU45" s="77">
        <f>F45*AM45</f>
        <v>0</v>
      </c>
      <c r="AV45" s="77">
        <f>F45*AN45</f>
        <v>0</v>
      </c>
      <c r="AW45" s="79" t="s">
        <v>222</v>
      </c>
      <c r="AX45" s="79" t="s">
        <v>147</v>
      </c>
      <c r="AY45" s="71" t="s">
        <v>137</v>
      </c>
      <c r="BA45" s="77">
        <f>AU45+AV45</f>
        <v>0</v>
      </c>
      <c r="BB45" s="77">
        <f>G45/(100-BC45)*100</f>
        <v>0</v>
      </c>
      <c r="BC45" s="77">
        <v>0</v>
      </c>
      <c r="BD45" s="77">
        <f>L45</f>
        <v>0</v>
      </c>
      <c r="BF45" s="77">
        <f>F45*AM45</f>
        <v>0</v>
      </c>
      <c r="BG45" s="77">
        <f>F45*AN45</f>
        <v>0</v>
      </c>
      <c r="BH45" s="77">
        <f>F45*G45</f>
        <v>0</v>
      </c>
      <c r="BI45" s="77"/>
      <c r="BJ45" s="77">
        <v>16</v>
      </c>
      <c r="BU45" s="77" t="e">
        <f>#REF!</f>
        <v>#REF!</v>
      </c>
      <c r="BV45" s="70" t="s">
        <v>969</v>
      </c>
    </row>
    <row r="46" spans="1:74" ht="40.5" customHeight="1" x14ac:dyDescent="0.25">
      <c r="A46" s="104"/>
      <c r="B46" s="81" t="s">
        <v>138</v>
      </c>
      <c r="C46" s="303" t="s">
        <v>1153</v>
      </c>
      <c r="D46" s="304"/>
      <c r="E46" s="304"/>
      <c r="F46" s="304"/>
      <c r="G46" s="304"/>
      <c r="H46" s="304"/>
      <c r="I46" s="304"/>
      <c r="J46" s="304"/>
      <c r="K46" s="304"/>
      <c r="L46" s="304"/>
      <c r="M46" s="305"/>
    </row>
    <row r="47" spans="1:74" x14ac:dyDescent="0.25">
      <c r="A47" s="92" t="s">
        <v>209</v>
      </c>
      <c r="B47" s="69" t="s">
        <v>241</v>
      </c>
      <c r="C47" s="306" t="s">
        <v>242</v>
      </c>
      <c r="D47" s="307"/>
      <c r="E47" s="69" t="s">
        <v>177</v>
      </c>
      <c r="F47" s="77">
        <v>7.98</v>
      </c>
      <c r="G47" s="218">
        <v>0</v>
      </c>
      <c r="H47" s="77">
        <f>F47*AM47</f>
        <v>0</v>
      </c>
      <c r="I47" s="77">
        <f>F47*AN47</f>
        <v>0</v>
      </c>
      <c r="J47" s="77">
        <f>F47*G47</f>
        <v>0</v>
      </c>
      <c r="K47" s="77">
        <v>0</v>
      </c>
      <c r="L47" s="77">
        <f>F47*K47</f>
        <v>0</v>
      </c>
      <c r="M47" s="103" t="s">
        <v>35</v>
      </c>
      <c r="X47" s="77">
        <f>IF(AO47="5",BH47,0)</f>
        <v>0</v>
      </c>
      <c r="Z47" s="77">
        <f>IF(AO47="1",BF47,0)</f>
        <v>0</v>
      </c>
      <c r="AA47" s="77">
        <f>IF(AO47="1",BG47,0)</f>
        <v>0</v>
      </c>
      <c r="AB47" s="77">
        <f>IF(AO47="7",BF47,0)</f>
        <v>0</v>
      </c>
      <c r="AC47" s="77">
        <f>IF(AO47="7",BG47,0)</f>
        <v>0</v>
      </c>
      <c r="AD47" s="77">
        <f>IF(AO47="2",BF47,0)</f>
        <v>0</v>
      </c>
      <c r="AE47" s="77">
        <f>IF(AO47="2",BG47,0)</f>
        <v>0</v>
      </c>
      <c r="AF47" s="77">
        <f>IF(AO47="0",BH47,0)</f>
        <v>0</v>
      </c>
      <c r="AG47" s="71" t="s">
        <v>129</v>
      </c>
      <c r="AH47" s="77">
        <f>IF(AL47=0,J47,0)</f>
        <v>0</v>
      </c>
      <c r="AI47" s="77">
        <f>IF(AL47=15,J47,0)</f>
        <v>0</v>
      </c>
      <c r="AJ47" s="77">
        <f>IF(AL47=21,J47,0)</f>
        <v>0</v>
      </c>
      <c r="AL47" s="77">
        <v>15</v>
      </c>
      <c r="AM47" s="77">
        <f>G47*0</f>
        <v>0</v>
      </c>
      <c r="AN47" s="77">
        <f>G47*(1-0)</f>
        <v>0</v>
      </c>
      <c r="AO47" s="79" t="s">
        <v>132</v>
      </c>
      <c r="AT47" s="77">
        <f>AU47+AV47</f>
        <v>0</v>
      </c>
      <c r="AU47" s="77">
        <f>F47*AM47</f>
        <v>0</v>
      </c>
      <c r="AV47" s="77">
        <f>F47*AN47</f>
        <v>0</v>
      </c>
      <c r="AW47" s="79" t="s">
        <v>222</v>
      </c>
      <c r="AX47" s="79" t="s">
        <v>147</v>
      </c>
      <c r="AY47" s="71" t="s">
        <v>137</v>
      </c>
      <c r="BA47" s="77">
        <f>AU47+AV47</f>
        <v>0</v>
      </c>
      <c r="BB47" s="77">
        <f>G47/(100-BC47)*100</f>
        <v>0</v>
      </c>
      <c r="BC47" s="77">
        <v>0</v>
      </c>
      <c r="BD47" s="77">
        <f>L47</f>
        <v>0</v>
      </c>
      <c r="BF47" s="77">
        <f>F47*AM47</f>
        <v>0</v>
      </c>
      <c r="BG47" s="77">
        <f>F47*AN47</f>
        <v>0</v>
      </c>
      <c r="BH47" s="77">
        <f>F47*G47</f>
        <v>0</v>
      </c>
      <c r="BI47" s="77"/>
      <c r="BJ47" s="77">
        <v>16</v>
      </c>
      <c r="BU47" s="77" t="e">
        <f>#REF!</f>
        <v>#REF!</v>
      </c>
      <c r="BV47" s="70" t="s">
        <v>242</v>
      </c>
    </row>
    <row r="48" spans="1:74" ht="40.5" customHeight="1" x14ac:dyDescent="0.25">
      <c r="A48" s="104"/>
      <c r="B48" s="81" t="s">
        <v>138</v>
      </c>
      <c r="C48" s="303" t="s">
        <v>1154</v>
      </c>
      <c r="D48" s="304"/>
      <c r="E48" s="304"/>
      <c r="F48" s="304"/>
      <c r="G48" s="304"/>
      <c r="H48" s="304"/>
      <c r="I48" s="304"/>
      <c r="J48" s="304"/>
      <c r="K48" s="304"/>
      <c r="L48" s="304"/>
      <c r="M48" s="305"/>
    </row>
    <row r="49" spans="1:74" x14ac:dyDescent="0.25">
      <c r="A49" s="105" t="s">
        <v>129</v>
      </c>
      <c r="B49" s="74" t="s">
        <v>214</v>
      </c>
      <c r="C49" s="314" t="s">
        <v>244</v>
      </c>
      <c r="D49" s="315"/>
      <c r="E49" s="75" t="s">
        <v>87</v>
      </c>
      <c r="F49" s="75" t="s">
        <v>87</v>
      </c>
      <c r="G49" s="75" t="s">
        <v>87</v>
      </c>
      <c r="H49" s="67">
        <f>SUM(H50:H54)</f>
        <v>0</v>
      </c>
      <c r="I49" s="67">
        <f>SUM(I50:I54)</f>
        <v>0</v>
      </c>
      <c r="J49" s="67">
        <f>SUM(J50:J54)</f>
        <v>0</v>
      </c>
      <c r="K49" s="71" t="s">
        <v>129</v>
      </c>
      <c r="L49" s="67">
        <f>SUM(L50:L54)</f>
        <v>2.9409999999999998</v>
      </c>
      <c r="M49" s="106" t="s">
        <v>129</v>
      </c>
      <c r="AG49" s="71" t="s">
        <v>129</v>
      </c>
      <c r="AQ49" s="67">
        <f>SUM(AH50:AH54)</f>
        <v>0</v>
      </c>
      <c r="AR49" s="67">
        <f>SUM(AI50:AI54)</f>
        <v>0</v>
      </c>
      <c r="AS49" s="67">
        <f>SUM(AJ50:AJ54)</f>
        <v>0</v>
      </c>
    </row>
    <row r="50" spans="1:74" x14ac:dyDescent="0.25">
      <c r="A50" s="92" t="s">
        <v>214</v>
      </c>
      <c r="B50" s="69" t="s">
        <v>246</v>
      </c>
      <c r="C50" s="306" t="s">
        <v>247</v>
      </c>
      <c r="D50" s="307"/>
      <c r="E50" s="69" t="s">
        <v>177</v>
      </c>
      <c r="F50" s="77">
        <v>1.73</v>
      </c>
      <c r="G50" s="218">
        <v>0</v>
      </c>
      <c r="H50" s="77">
        <f>F50*AM50</f>
        <v>0</v>
      </c>
      <c r="I50" s="77">
        <f>F50*AN50</f>
        <v>0</v>
      </c>
      <c r="J50" s="77">
        <f>F50*G50</f>
        <v>0</v>
      </c>
      <c r="K50" s="77">
        <v>1.7</v>
      </c>
      <c r="L50" s="77">
        <f>F50*K50</f>
        <v>2.9409999999999998</v>
      </c>
      <c r="M50" s="103" t="s">
        <v>35</v>
      </c>
      <c r="X50" s="77">
        <f>IF(AO50="5",BH50,0)</f>
        <v>0</v>
      </c>
      <c r="Z50" s="77">
        <f>IF(AO50="1",BF50,0)</f>
        <v>0</v>
      </c>
      <c r="AA50" s="77">
        <f>IF(AO50="1",BG50,0)</f>
        <v>0</v>
      </c>
      <c r="AB50" s="77">
        <f>IF(AO50="7",BF50,0)</f>
        <v>0</v>
      </c>
      <c r="AC50" s="77">
        <f>IF(AO50="7",BG50,0)</f>
        <v>0</v>
      </c>
      <c r="AD50" s="77">
        <f>IF(AO50="2",BF50,0)</f>
        <v>0</v>
      </c>
      <c r="AE50" s="77">
        <f>IF(AO50="2",BG50,0)</f>
        <v>0</v>
      </c>
      <c r="AF50" s="77">
        <f>IF(AO50="0",BH50,0)</f>
        <v>0</v>
      </c>
      <c r="AG50" s="71" t="s">
        <v>129</v>
      </c>
      <c r="AH50" s="77">
        <f>IF(AL50=0,J50,0)</f>
        <v>0</v>
      </c>
      <c r="AI50" s="77">
        <f>IF(AL50=15,J50,0)</f>
        <v>0</v>
      </c>
      <c r="AJ50" s="77">
        <f>IF(AL50=21,J50,0)</f>
        <v>0</v>
      </c>
      <c r="AL50" s="77">
        <v>15</v>
      </c>
      <c r="AM50" s="77">
        <f>G50*0.512974249</f>
        <v>0</v>
      </c>
      <c r="AN50" s="77">
        <f>G50*(1-0.512974249)</f>
        <v>0</v>
      </c>
      <c r="AO50" s="79" t="s">
        <v>132</v>
      </c>
      <c r="AT50" s="77">
        <f>AU50+AV50</f>
        <v>0</v>
      </c>
      <c r="AU50" s="77">
        <f>F50*AM50</f>
        <v>0</v>
      </c>
      <c r="AV50" s="77">
        <f>F50*AN50</f>
        <v>0</v>
      </c>
      <c r="AW50" s="79" t="s">
        <v>248</v>
      </c>
      <c r="AX50" s="79" t="s">
        <v>147</v>
      </c>
      <c r="AY50" s="71" t="s">
        <v>137</v>
      </c>
      <c r="BA50" s="77">
        <f>AU50+AV50</f>
        <v>0</v>
      </c>
      <c r="BB50" s="77">
        <f>G50/(100-BC50)*100</f>
        <v>0</v>
      </c>
      <c r="BC50" s="77">
        <v>0</v>
      </c>
      <c r="BD50" s="77">
        <f>L50</f>
        <v>2.9409999999999998</v>
      </c>
      <c r="BF50" s="77">
        <f>F50*AM50</f>
        <v>0</v>
      </c>
      <c r="BG50" s="77">
        <f>F50*AN50</f>
        <v>0</v>
      </c>
      <c r="BH50" s="77">
        <f>F50*G50</f>
        <v>0</v>
      </c>
      <c r="BI50" s="77"/>
      <c r="BJ50" s="77">
        <v>17</v>
      </c>
      <c r="BU50" s="77" t="e">
        <f>#REF!</f>
        <v>#REF!</v>
      </c>
      <c r="BV50" s="70" t="s">
        <v>247</v>
      </c>
    </row>
    <row r="51" spans="1:74" ht="54" customHeight="1" thickBot="1" x14ac:dyDescent="0.3">
      <c r="A51" s="107"/>
      <c r="B51" s="108" t="s">
        <v>138</v>
      </c>
      <c r="C51" s="308" t="s">
        <v>1155</v>
      </c>
      <c r="D51" s="309"/>
      <c r="E51" s="309"/>
      <c r="F51" s="309"/>
      <c r="G51" s="309"/>
      <c r="H51" s="309"/>
      <c r="I51" s="309"/>
      <c r="J51" s="309"/>
      <c r="K51" s="309"/>
      <c r="L51" s="309"/>
      <c r="M51" s="310"/>
    </row>
    <row r="52" spans="1:74" x14ac:dyDescent="0.25">
      <c r="A52" s="122" t="s">
        <v>219</v>
      </c>
      <c r="B52" s="109" t="s">
        <v>251</v>
      </c>
      <c r="C52" s="312" t="s">
        <v>252</v>
      </c>
      <c r="D52" s="313"/>
      <c r="E52" s="109" t="s">
        <v>177</v>
      </c>
      <c r="F52" s="123">
        <v>1.73</v>
      </c>
      <c r="G52" s="219">
        <v>0</v>
      </c>
      <c r="H52" s="123">
        <f>F52*AM52</f>
        <v>0</v>
      </c>
      <c r="I52" s="123">
        <f>F52*AN52</f>
        <v>0</v>
      </c>
      <c r="J52" s="123">
        <f>F52*G52</f>
        <v>0</v>
      </c>
      <c r="K52" s="123">
        <v>0</v>
      </c>
      <c r="L52" s="123">
        <f>F52*K52</f>
        <v>0</v>
      </c>
      <c r="M52" s="124"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15</v>
      </c>
      <c r="AM52" s="77">
        <f>G52*0</f>
        <v>0</v>
      </c>
      <c r="AN52" s="77">
        <f>G52*(1-0)</f>
        <v>0</v>
      </c>
      <c r="AO52" s="79" t="s">
        <v>132</v>
      </c>
      <c r="AT52" s="77">
        <f>AU52+AV52</f>
        <v>0</v>
      </c>
      <c r="AU52" s="77">
        <f>F52*AM52</f>
        <v>0</v>
      </c>
      <c r="AV52" s="77">
        <f>F52*AN52</f>
        <v>0</v>
      </c>
      <c r="AW52" s="79" t="s">
        <v>248</v>
      </c>
      <c r="AX52" s="79" t="s">
        <v>147</v>
      </c>
      <c r="AY52" s="71" t="s">
        <v>137</v>
      </c>
      <c r="BA52" s="77">
        <f>AU52+AV52</f>
        <v>0</v>
      </c>
      <c r="BB52" s="77">
        <f>G52/(100-BC52)*100</f>
        <v>0</v>
      </c>
      <c r="BC52" s="77">
        <v>0</v>
      </c>
      <c r="BD52" s="77">
        <f>L52</f>
        <v>0</v>
      </c>
      <c r="BF52" s="77">
        <f>F52*AM52</f>
        <v>0</v>
      </c>
      <c r="BG52" s="77">
        <f>F52*AN52</f>
        <v>0</v>
      </c>
      <c r="BH52" s="77">
        <f>F52*G52</f>
        <v>0</v>
      </c>
      <c r="BI52" s="77"/>
      <c r="BJ52" s="77">
        <v>17</v>
      </c>
      <c r="BU52" s="77" t="e">
        <f>#REF!</f>
        <v>#REF!</v>
      </c>
      <c r="BV52" s="70" t="s">
        <v>252</v>
      </c>
    </row>
    <row r="53" spans="1:74" ht="40.5" customHeight="1" x14ac:dyDescent="0.25">
      <c r="A53" s="104"/>
      <c r="B53" s="81" t="s">
        <v>138</v>
      </c>
      <c r="C53" s="303" t="s">
        <v>1156</v>
      </c>
      <c r="D53" s="304"/>
      <c r="E53" s="304"/>
      <c r="F53" s="304"/>
      <c r="G53" s="304"/>
      <c r="H53" s="304"/>
      <c r="I53" s="304"/>
      <c r="J53" s="304"/>
      <c r="K53" s="304"/>
      <c r="L53" s="304"/>
      <c r="M53" s="305"/>
    </row>
    <row r="54" spans="1:74" x14ac:dyDescent="0.25">
      <c r="A54" s="92" t="s">
        <v>224</v>
      </c>
      <c r="B54" s="69" t="s">
        <v>254</v>
      </c>
      <c r="C54" s="306" t="s">
        <v>255</v>
      </c>
      <c r="D54" s="307"/>
      <c r="E54" s="69" t="s">
        <v>177</v>
      </c>
      <c r="F54" s="77">
        <v>3.99</v>
      </c>
      <c r="G54" s="218">
        <v>0</v>
      </c>
      <c r="H54" s="77">
        <f>F54*AM54</f>
        <v>0</v>
      </c>
      <c r="I54" s="77">
        <f>F54*AN54</f>
        <v>0</v>
      </c>
      <c r="J54" s="77">
        <f>F54*G54</f>
        <v>0</v>
      </c>
      <c r="K54" s="77">
        <v>0</v>
      </c>
      <c r="L54" s="77">
        <f>F54*K54</f>
        <v>0</v>
      </c>
      <c r="M54" s="103"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f>
        <v>0</v>
      </c>
      <c r="AN54" s="77">
        <f>G54*(1-0)</f>
        <v>0</v>
      </c>
      <c r="AO54" s="79" t="s">
        <v>132</v>
      </c>
      <c r="AT54" s="77">
        <f>AU54+AV54</f>
        <v>0</v>
      </c>
      <c r="AU54" s="77">
        <f>F54*AM54</f>
        <v>0</v>
      </c>
      <c r="AV54" s="77">
        <f>F54*AN54</f>
        <v>0</v>
      </c>
      <c r="AW54" s="79" t="s">
        <v>248</v>
      </c>
      <c r="AX54" s="79" t="s">
        <v>147</v>
      </c>
      <c r="AY54" s="71" t="s">
        <v>137</v>
      </c>
      <c r="BA54" s="77">
        <f>AU54+AV54</f>
        <v>0</v>
      </c>
      <c r="BB54" s="77">
        <f>G54/(100-BC54)*100</f>
        <v>0</v>
      </c>
      <c r="BC54" s="77">
        <v>0</v>
      </c>
      <c r="BD54" s="77">
        <f>L54</f>
        <v>0</v>
      </c>
      <c r="BF54" s="77">
        <f>F54*AM54</f>
        <v>0</v>
      </c>
      <c r="BG54" s="77">
        <f>F54*AN54</f>
        <v>0</v>
      </c>
      <c r="BH54" s="77">
        <f>F54*G54</f>
        <v>0</v>
      </c>
      <c r="BI54" s="77"/>
      <c r="BJ54" s="77">
        <v>17</v>
      </c>
      <c r="BU54" s="77" t="e">
        <f>#REF!</f>
        <v>#REF!</v>
      </c>
      <c r="BV54" s="70" t="s">
        <v>255</v>
      </c>
    </row>
    <row r="55" spans="1:74" ht="81" customHeight="1" x14ac:dyDescent="0.25">
      <c r="A55" s="104"/>
      <c r="B55" s="81" t="s">
        <v>138</v>
      </c>
      <c r="C55" s="303" t="s">
        <v>1157</v>
      </c>
      <c r="D55" s="304"/>
      <c r="E55" s="304"/>
      <c r="F55" s="304"/>
      <c r="G55" s="304"/>
      <c r="H55" s="304"/>
      <c r="I55" s="304"/>
      <c r="J55" s="304"/>
      <c r="K55" s="304"/>
      <c r="L55" s="304"/>
      <c r="M55" s="305"/>
    </row>
    <row r="56" spans="1:74" x14ac:dyDescent="0.25">
      <c r="A56" s="105" t="s">
        <v>129</v>
      </c>
      <c r="B56" s="74" t="s">
        <v>224</v>
      </c>
      <c r="C56" s="314" t="s">
        <v>257</v>
      </c>
      <c r="D56" s="315"/>
      <c r="E56" s="75" t="s">
        <v>87</v>
      </c>
      <c r="F56" s="75" t="s">
        <v>87</v>
      </c>
      <c r="G56" s="75" t="s">
        <v>87</v>
      </c>
      <c r="H56" s="67">
        <f>SUM(H57:H57)</f>
        <v>0</v>
      </c>
      <c r="I56" s="67">
        <f>SUM(I57:I57)</f>
        <v>0</v>
      </c>
      <c r="J56" s="67">
        <f>SUM(J57:J57)</f>
        <v>0</v>
      </c>
      <c r="K56" s="71" t="s">
        <v>129</v>
      </c>
      <c r="L56" s="67">
        <f>SUM(L57:L57)</f>
        <v>0</v>
      </c>
      <c r="M56" s="106" t="s">
        <v>129</v>
      </c>
      <c r="AG56" s="71" t="s">
        <v>129</v>
      </c>
      <c r="AQ56" s="67">
        <f>SUM(AH57:AH57)</f>
        <v>0</v>
      </c>
      <c r="AR56" s="67">
        <f>SUM(AI57:AI57)</f>
        <v>0</v>
      </c>
      <c r="AS56" s="67">
        <f>SUM(AJ57:AJ57)</f>
        <v>0</v>
      </c>
    </row>
    <row r="57" spans="1:74" x14ac:dyDescent="0.25">
      <c r="A57" s="92" t="s">
        <v>228</v>
      </c>
      <c r="B57" s="69" t="s">
        <v>259</v>
      </c>
      <c r="C57" s="306" t="s">
        <v>260</v>
      </c>
      <c r="D57" s="307"/>
      <c r="E57" s="69" t="s">
        <v>177</v>
      </c>
      <c r="F57" s="77">
        <v>2.41</v>
      </c>
      <c r="G57" s="218">
        <v>0</v>
      </c>
      <c r="H57" s="77">
        <f>F57*AM57</f>
        <v>0</v>
      </c>
      <c r="I57" s="77">
        <f>F57*AN57</f>
        <v>0</v>
      </c>
      <c r="J57" s="77">
        <f>F57*G57</f>
        <v>0</v>
      </c>
      <c r="K57" s="77">
        <v>0</v>
      </c>
      <c r="L57" s="77">
        <f>F57*K57</f>
        <v>0</v>
      </c>
      <c r="M57" s="103" t="s">
        <v>35</v>
      </c>
      <c r="X57" s="77">
        <f>IF(AO57="5",BH57,0)</f>
        <v>0</v>
      </c>
      <c r="Z57" s="77">
        <f>IF(AO57="1",BF57,0)</f>
        <v>0</v>
      </c>
      <c r="AA57" s="77">
        <f>IF(AO57="1",BG57,0)</f>
        <v>0</v>
      </c>
      <c r="AB57" s="77">
        <f>IF(AO57="7",BF57,0)</f>
        <v>0</v>
      </c>
      <c r="AC57" s="77">
        <f>IF(AO57="7",BG57,0)</f>
        <v>0</v>
      </c>
      <c r="AD57" s="77">
        <f>IF(AO57="2",BF57,0)</f>
        <v>0</v>
      </c>
      <c r="AE57" s="77">
        <f>IF(AO57="2",BG57,0)</f>
        <v>0</v>
      </c>
      <c r="AF57" s="77">
        <f>IF(AO57="0",BH57,0)</f>
        <v>0</v>
      </c>
      <c r="AG57" s="71" t="s">
        <v>129</v>
      </c>
      <c r="AH57" s="77">
        <f>IF(AL57=0,J57,0)</f>
        <v>0</v>
      </c>
      <c r="AI57" s="77">
        <f>IF(AL57=15,J57,0)</f>
        <v>0</v>
      </c>
      <c r="AJ57" s="77">
        <f>IF(AL57=21,J57,0)</f>
        <v>0</v>
      </c>
      <c r="AL57" s="77">
        <v>15</v>
      </c>
      <c r="AM57" s="77">
        <f>G57*0</f>
        <v>0</v>
      </c>
      <c r="AN57" s="77">
        <f>G57*(1-0)</f>
        <v>0</v>
      </c>
      <c r="AO57" s="79" t="s">
        <v>132</v>
      </c>
      <c r="AT57" s="77">
        <f>AU57+AV57</f>
        <v>0</v>
      </c>
      <c r="AU57" s="77">
        <f>F57*AM57</f>
        <v>0</v>
      </c>
      <c r="AV57" s="77">
        <f>F57*AN57</f>
        <v>0</v>
      </c>
      <c r="AW57" s="79" t="s">
        <v>261</v>
      </c>
      <c r="AX57" s="79" t="s">
        <v>147</v>
      </c>
      <c r="AY57" s="71" t="s">
        <v>137</v>
      </c>
      <c r="BA57" s="77">
        <f>AU57+AV57</f>
        <v>0</v>
      </c>
      <c r="BB57" s="77">
        <f>G57/(100-BC57)*100</f>
        <v>0</v>
      </c>
      <c r="BC57" s="77">
        <v>0</v>
      </c>
      <c r="BD57" s="77">
        <f>L57</f>
        <v>0</v>
      </c>
      <c r="BF57" s="77">
        <f>F57*AM57</f>
        <v>0</v>
      </c>
      <c r="BG57" s="77">
        <f>F57*AN57</f>
        <v>0</v>
      </c>
      <c r="BH57" s="77">
        <f>F57*G57</f>
        <v>0</v>
      </c>
      <c r="BI57" s="77"/>
      <c r="BJ57" s="77">
        <v>19</v>
      </c>
      <c r="BU57" s="77" t="e">
        <f>#REF!</f>
        <v>#REF!</v>
      </c>
      <c r="BV57" s="70" t="s">
        <v>260</v>
      </c>
    </row>
    <row r="58" spans="1:74" ht="13.5" customHeight="1" x14ac:dyDescent="0.25">
      <c r="A58" s="104"/>
      <c r="B58" s="81" t="s">
        <v>138</v>
      </c>
      <c r="C58" s="303" t="s">
        <v>515</v>
      </c>
      <c r="D58" s="304"/>
      <c r="E58" s="304"/>
      <c r="F58" s="304"/>
      <c r="G58" s="304"/>
      <c r="H58" s="304"/>
      <c r="I58" s="304"/>
      <c r="J58" s="304"/>
      <c r="K58" s="304"/>
      <c r="L58" s="304"/>
      <c r="M58" s="305"/>
    </row>
    <row r="59" spans="1:74" x14ac:dyDescent="0.25">
      <c r="A59" s="105" t="s">
        <v>129</v>
      </c>
      <c r="B59" s="74" t="s">
        <v>232</v>
      </c>
      <c r="C59" s="314" t="s">
        <v>267</v>
      </c>
      <c r="D59" s="315"/>
      <c r="E59" s="75" t="s">
        <v>87</v>
      </c>
      <c r="F59" s="75" t="s">
        <v>87</v>
      </c>
      <c r="G59" s="75" t="s">
        <v>87</v>
      </c>
      <c r="H59" s="67">
        <f>SUM(H60:H60)</f>
        <v>0</v>
      </c>
      <c r="I59" s="67">
        <f>SUM(I60:I60)</f>
        <v>0</v>
      </c>
      <c r="J59" s="67">
        <f>SUM(J60:J60)</f>
        <v>0</v>
      </c>
      <c r="K59" s="71" t="s">
        <v>129</v>
      </c>
      <c r="L59" s="67">
        <f>SUM(L60:L60)</f>
        <v>0</v>
      </c>
      <c r="M59" s="106" t="s">
        <v>129</v>
      </c>
      <c r="AG59" s="71" t="s">
        <v>129</v>
      </c>
      <c r="AQ59" s="67">
        <f>SUM(AH60:AH60)</f>
        <v>0</v>
      </c>
      <c r="AR59" s="67">
        <f>SUM(AI60:AI60)</f>
        <v>0</v>
      </c>
      <c r="AS59" s="67">
        <f>SUM(AJ60:AJ60)</f>
        <v>0</v>
      </c>
    </row>
    <row r="60" spans="1:74" x14ac:dyDescent="0.25">
      <c r="A60" s="92" t="s">
        <v>232</v>
      </c>
      <c r="B60" s="69" t="s">
        <v>927</v>
      </c>
      <c r="C60" s="306" t="s">
        <v>270</v>
      </c>
      <c r="D60" s="307"/>
      <c r="E60" s="69" t="s">
        <v>166</v>
      </c>
      <c r="F60" s="77">
        <v>4.84</v>
      </c>
      <c r="G60" s="218">
        <v>0</v>
      </c>
      <c r="H60" s="77">
        <f>F60*AM60</f>
        <v>0</v>
      </c>
      <c r="I60" s="77">
        <f>F60*AN60</f>
        <v>0</v>
      </c>
      <c r="J60" s="77">
        <f>F60*G60</f>
        <v>0</v>
      </c>
      <c r="K60" s="77">
        <v>0</v>
      </c>
      <c r="L60" s="77">
        <f>F60*K60</f>
        <v>0</v>
      </c>
      <c r="M60" s="103" t="s">
        <v>35</v>
      </c>
      <c r="X60" s="77">
        <f>IF(AO60="5",BH60,0)</f>
        <v>0</v>
      </c>
      <c r="Z60" s="77">
        <f>IF(AO60="1",BF60,0)</f>
        <v>0</v>
      </c>
      <c r="AA60" s="77">
        <f>IF(AO60="1",BG60,0)</f>
        <v>0</v>
      </c>
      <c r="AB60" s="77">
        <f>IF(AO60="7",BF60,0)</f>
        <v>0</v>
      </c>
      <c r="AC60" s="77">
        <f>IF(AO60="7",BG60,0)</f>
        <v>0</v>
      </c>
      <c r="AD60" s="77">
        <f>IF(AO60="2",BF60,0)</f>
        <v>0</v>
      </c>
      <c r="AE60" s="77">
        <f>IF(AO60="2",BG60,0)</f>
        <v>0</v>
      </c>
      <c r="AF60" s="77">
        <f>IF(AO60="0",BH60,0)</f>
        <v>0</v>
      </c>
      <c r="AG60" s="71" t="s">
        <v>129</v>
      </c>
      <c r="AH60" s="77">
        <f>IF(AL60=0,J60,0)</f>
        <v>0</v>
      </c>
      <c r="AI60" s="77">
        <f>IF(AL60=15,J60,0)</f>
        <v>0</v>
      </c>
      <c r="AJ60" s="77">
        <f>IF(AL60=21,J60,0)</f>
        <v>0</v>
      </c>
      <c r="AL60" s="77">
        <v>15</v>
      </c>
      <c r="AM60" s="77">
        <f>G60*0</f>
        <v>0</v>
      </c>
      <c r="AN60" s="77">
        <f>G60*(1-0)</f>
        <v>0</v>
      </c>
      <c r="AO60" s="79" t="s">
        <v>132</v>
      </c>
      <c r="AT60" s="77">
        <f>AU60+AV60</f>
        <v>0</v>
      </c>
      <c r="AU60" s="77">
        <f>F60*AM60</f>
        <v>0</v>
      </c>
      <c r="AV60" s="77">
        <f>F60*AN60</f>
        <v>0</v>
      </c>
      <c r="AW60" s="79" t="s">
        <v>271</v>
      </c>
      <c r="AX60" s="79" t="s">
        <v>272</v>
      </c>
      <c r="AY60" s="71" t="s">
        <v>137</v>
      </c>
      <c r="BA60" s="77">
        <f>AU60+AV60</f>
        <v>0</v>
      </c>
      <c r="BB60" s="77">
        <f>G60/(100-BC60)*100</f>
        <v>0</v>
      </c>
      <c r="BC60" s="77">
        <v>0</v>
      </c>
      <c r="BD60" s="77">
        <f>L60</f>
        <v>0</v>
      </c>
      <c r="BF60" s="77">
        <f>F60*AM60</f>
        <v>0</v>
      </c>
      <c r="BG60" s="77">
        <f>F60*AN60</f>
        <v>0</v>
      </c>
      <c r="BH60" s="77">
        <f>F60*G60</f>
        <v>0</v>
      </c>
      <c r="BI60" s="77"/>
      <c r="BJ60" s="77">
        <v>21</v>
      </c>
      <c r="BU60" s="77" t="e">
        <f>#REF!</f>
        <v>#REF!</v>
      </c>
      <c r="BV60" s="70" t="s">
        <v>270</v>
      </c>
    </row>
    <row r="61" spans="1:74" ht="40.5" customHeight="1" x14ac:dyDescent="0.25">
      <c r="A61" s="104"/>
      <c r="B61" s="81" t="s">
        <v>138</v>
      </c>
      <c r="C61" s="303" t="s">
        <v>1129</v>
      </c>
      <c r="D61" s="304"/>
      <c r="E61" s="304"/>
      <c r="F61" s="304"/>
      <c r="G61" s="304"/>
      <c r="H61" s="304"/>
      <c r="I61" s="304"/>
      <c r="J61" s="304"/>
      <c r="K61" s="304"/>
      <c r="L61" s="304"/>
      <c r="M61" s="305"/>
    </row>
    <row r="62" spans="1:74" x14ac:dyDescent="0.25">
      <c r="A62" s="105" t="s">
        <v>129</v>
      </c>
      <c r="B62" s="74" t="s">
        <v>288</v>
      </c>
      <c r="C62" s="314" t="s">
        <v>289</v>
      </c>
      <c r="D62" s="315"/>
      <c r="E62" s="75" t="s">
        <v>87</v>
      </c>
      <c r="F62" s="75" t="s">
        <v>87</v>
      </c>
      <c r="G62" s="75" t="s">
        <v>87</v>
      </c>
      <c r="H62" s="67">
        <f>SUM(H63:H63)</f>
        <v>0</v>
      </c>
      <c r="I62" s="67">
        <f>SUM(I63:I63)</f>
        <v>0</v>
      </c>
      <c r="J62" s="67">
        <f>SUM(J63:J63)</f>
        <v>0</v>
      </c>
      <c r="K62" s="71" t="s">
        <v>129</v>
      </c>
      <c r="L62" s="67">
        <f>SUM(L63:L63)</f>
        <v>1.3802620999999999</v>
      </c>
      <c r="M62" s="106" t="s">
        <v>129</v>
      </c>
      <c r="AG62" s="71" t="s">
        <v>129</v>
      </c>
      <c r="AQ62" s="67">
        <f>SUM(AH63:AH63)</f>
        <v>0</v>
      </c>
      <c r="AR62" s="67">
        <f>SUM(AI63:AI63)</f>
        <v>0</v>
      </c>
      <c r="AS62" s="67">
        <f>SUM(AJ63:AJ63)</f>
        <v>0</v>
      </c>
    </row>
    <row r="63" spans="1:74" x14ac:dyDescent="0.25">
      <c r="A63" s="92" t="s">
        <v>236</v>
      </c>
      <c r="B63" s="69" t="s">
        <v>291</v>
      </c>
      <c r="C63" s="306" t="s">
        <v>524</v>
      </c>
      <c r="D63" s="307"/>
      <c r="E63" s="69" t="s">
        <v>177</v>
      </c>
      <c r="F63" s="77">
        <v>0.73</v>
      </c>
      <c r="G63" s="218">
        <v>0</v>
      </c>
      <c r="H63" s="77">
        <f>F63*AM63</f>
        <v>0</v>
      </c>
      <c r="I63" s="77">
        <f>F63*AN63</f>
        <v>0</v>
      </c>
      <c r="J63" s="77">
        <f>F63*G63</f>
        <v>0</v>
      </c>
      <c r="K63" s="77">
        <v>1.8907700000000001</v>
      </c>
      <c r="L63" s="77">
        <f>F63*K63</f>
        <v>1.3802620999999999</v>
      </c>
      <c r="M63" s="103" t="s">
        <v>35</v>
      </c>
      <c r="X63" s="77">
        <f>IF(AO63="5",BH63,0)</f>
        <v>0</v>
      </c>
      <c r="Z63" s="77">
        <f>IF(AO63="1",BF63,0)</f>
        <v>0</v>
      </c>
      <c r="AA63" s="77">
        <f>IF(AO63="1",BG63,0)</f>
        <v>0</v>
      </c>
      <c r="AB63" s="77">
        <f>IF(AO63="7",BF63,0)</f>
        <v>0</v>
      </c>
      <c r="AC63" s="77">
        <f>IF(AO63="7",BG63,0)</f>
        <v>0</v>
      </c>
      <c r="AD63" s="77">
        <f>IF(AO63="2",BF63,0)</f>
        <v>0</v>
      </c>
      <c r="AE63" s="77">
        <f>IF(AO63="2",BG63,0)</f>
        <v>0</v>
      </c>
      <c r="AF63" s="77">
        <f>IF(AO63="0",BH63,0)</f>
        <v>0</v>
      </c>
      <c r="AG63" s="71" t="s">
        <v>129</v>
      </c>
      <c r="AH63" s="77">
        <f>IF(AL63=0,J63,0)</f>
        <v>0</v>
      </c>
      <c r="AI63" s="77">
        <f>IF(AL63=15,J63,0)</f>
        <v>0</v>
      </c>
      <c r="AJ63" s="77">
        <f>IF(AL63=21,J63,0)</f>
        <v>0</v>
      </c>
      <c r="AL63" s="77">
        <v>15</v>
      </c>
      <c r="AM63" s="77">
        <f>G63*0.487559318</f>
        <v>0</v>
      </c>
      <c r="AN63" s="77">
        <f>G63*(1-0.487559318)</f>
        <v>0</v>
      </c>
      <c r="AO63" s="79" t="s">
        <v>132</v>
      </c>
      <c r="AT63" s="77">
        <f>AU63+AV63</f>
        <v>0</v>
      </c>
      <c r="AU63" s="77">
        <f>F63*AM63</f>
        <v>0</v>
      </c>
      <c r="AV63" s="77">
        <f>F63*AN63</f>
        <v>0</v>
      </c>
      <c r="AW63" s="79" t="s">
        <v>293</v>
      </c>
      <c r="AX63" s="79" t="s">
        <v>294</v>
      </c>
      <c r="AY63" s="71" t="s">
        <v>137</v>
      </c>
      <c r="BA63" s="77">
        <f>AU63+AV63</f>
        <v>0</v>
      </c>
      <c r="BB63" s="77">
        <f>G63/(100-BC63)*100</f>
        <v>0</v>
      </c>
      <c r="BC63" s="77">
        <v>0</v>
      </c>
      <c r="BD63" s="77">
        <f>L63</f>
        <v>1.3802620999999999</v>
      </c>
      <c r="BF63" s="77">
        <f>F63*AM63</f>
        <v>0</v>
      </c>
      <c r="BG63" s="77">
        <f>F63*AN63</f>
        <v>0</v>
      </c>
      <c r="BH63" s="77">
        <f>F63*G63</f>
        <v>0</v>
      </c>
      <c r="BI63" s="77"/>
      <c r="BJ63" s="77">
        <v>45</v>
      </c>
      <c r="BU63" s="77" t="e">
        <f>#REF!</f>
        <v>#REF!</v>
      </c>
      <c r="BV63" s="70" t="s">
        <v>524</v>
      </c>
    </row>
    <row r="64" spans="1:74" ht="67.5" customHeight="1" x14ac:dyDescent="0.25">
      <c r="A64" s="104"/>
      <c r="B64" s="81" t="s">
        <v>138</v>
      </c>
      <c r="C64" s="303" t="s">
        <v>1130</v>
      </c>
      <c r="D64" s="304"/>
      <c r="E64" s="304"/>
      <c r="F64" s="304"/>
      <c r="G64" s="304"/>
      <c r="H64" s="304"/>
      <c r="I64" s="304"/>
      <c r="J64" s="304"/>
      <c r="K64" s="304"/>
      <c r="L64" s="304"/>
      <c r="M64" s="305"/>
    </row>
    <row r="65" spans="1:74" x14ac:dyDescent="0.25">
      <c r="A65" s="105" t="s">
        <v>129</v>
      </c>
      <c r="B65" s="74" t="s">
        <v>296</v>
      </c>
      <c r="C65" s="314" t="s">
        <v>297</v>
      </c>
      <c r="D65" s="315"/>
      <c r="E65" s="75" t="s">
        <v>87</v>
      </c>
      <c r="F65" s="75" t="s">
        <v>87</v>
      </c>
      <c r="G65" s="75" t="s">
        <v>87</v>
      </c>
      <c r="H65" s="67">
        <f>SUM(H66:H72)</f>
        <v>0</v>
      </c>
      <c r="I65" s="67">
        <f>SUM(I66:I72)</f>
        <v>0</v>
      </c>
      <c r="J65" s="67">
        <f>SUM(J66:J72)</f>
        <v>0</v>
      </c>
      <c r="K65" s="71" t="s">
        <v>129</v>
      </c>
      <c r="L65" s="67">
        <f>SUM(L66:L72)</f>
        <v>9.8830292000000011</v>
      </c>
      <c r="M65" s="106" t="s">
        <v>129</v>
      </c>
      <c r="AG65" s="71" t="s">
        <v>129</v>
      </c>
      <c r="AQ65" s="67">
        <f>SUM(AH66:AH72)</f>
        <v>0</v>
      </c>
      <c r="AR65" s="67">
        <f>SUM(AI66:AI72)</f>
        <v>0</v>
      </c>
      <c r="AS65" s="67">
        <f>SUM(AJ66:AJ72)</f>
        <v>0</v>
      </c>
    </row>
    <row r="66" spans="1:74" x14ac:dyDescent="0.25">
      <c r="A66" s="92" t="s">
        <v>240</v>
      </c>
      <c r="B66" s="69" t="s">
        <v>1092</v>
      </c>
      <c r="C66" s="306" t="s">
        <v>1093</v>
      </c>
      <c r="D66" s="307"/>
      <c r="E66" s="69" t="s">
        <v>166</v>
      </c>
      <c r="F66" s="77">
        <v>5.04</v>
      </c>
      <c r="G66" s="218">
        <v>0</v>
      </c>
      <c r="H66" s="77">
        <f>F66*AM66</f>
        <v>0</v>
      </c>
      <c r="I66" s="77">
        <f>F66*AN66</f>
        <v>0</v>
      </c>
      <c r="J66" s="77">
        <f>F66*G66</f>
        <v>0</v>
      </c>
      <c r="K66" s="77">
        <v>0.55125000000000002</v>
      </c>
      <c r="L66" s="77">
        <f>F66*K66</f>
        <v>2.7783000000000002</v>
      </c>
      <c r="M66" s="103" t="s">
        <v>35</v>
      </c>
      <c r="X66" s="77">
        <f>IF(AO66="5",BH66,0)</f>
        <v>0</v>
      </c>
      <c r="Z66" s="77">
        <f>IF(AO66="1",BF66,0)</f>
        <v>0</v>
      </c>
      <c r="AA66" s="77">
        <f>IF(AO66="1",BG66,0)</f>
        <v>0</v>
      </c>
      <c r="AB66" s="77">
        <f>IF(AO66="7",BF66,0)</f>
        <v>0</v>
      </c>
      <c r="AC66" s="77">
        <f>IF(AO66="7",BG66,0)</f>
        <v>0</v>
      </c>
      <c r="AD66" s="77">
        <f>IF(AO66="2",BF66,0)</f>
        <v>0</v>
      </c>
      <c r="AE66" s="77">
        <f>IF(AO66="2",BG66,0)</f>
        <v>0</v>
      </c>
      <c r="AF66" s="77">
        <f>IF(AO66="0",BH66,0)</f>
        <v>0</v>
      </c>
      <c r="AG66" s="71" t="s">
        <v>129</v>
      </c>
      <c r="AH66" s="77">
        <f>IF(AL66=0,J66,0)</f>
        <v>0</v>
      </c>
      <c r="AI66" s="77">
        <f>IF(AL66=15,J66,0)</f>
        <v>0</v>
      </c>
      <c r="AJ66" s="77">
        <f>IF(AL66=21,J66,0)</f>
        <v>0</v>
      </c>
      <c r="AL66" s="77">
        <v>15</v>
      </c>
      <c r="AM66" s="77">
        <f>G66*0.876298107</f>
        <v>0</v>
      </c>
      <c r="AN66" s="77">
        <f>G66*(1-0.876298107)</f>
        <v>0</v>
      </c>
      <c r="AO66" s="79" t="s">
        <v>132</v>
      </c>
      <c r="AT66" s="77">
        <f>AU66+AV66</f>
        <v>0</v>
      </c>
      <c r="AU66" s="77">
        <f>F66*AM66</f>
        <v>0</v>
      </c>
      <c r="AV66" s="77">
        <f>F66*AN66</f>
        <v>0</v>
      </c>
      <c r="AW66" s="79" t="s">
        <v>301</v>
      </c>
      <c r="AX66" s="79" t="s">
        <v>302</v>
      </c>
      <c r="AY66" s="71" t="s">
        <v>137</v>
      </c>
      <c r="BA66" s="77">
        <f>AU66+AV66</f>
        <v>0</v>
      </c>
      <c r="BB66" s="77">
        <f>G66/(100-BC66)*100</f>
        <v>0</v>
      </c>
      <c r="BC66" s="77">
        <v>0</v>
      </c>
      <c r="BD66" s="77">
        <f>L66</f>
        <v>2.7783000000000002</v>
      </c>
      <c r="BF66" s="77">
        <f>F66*AM66</f>
        <v>0</v>
      </c>
      <c r="BG66" s="77">
        <f>F66*AN66</f>
        <v>0</v>
      </c>
      <c r="BH66" s="77">
        <f>F66*G66</f>
        <v>0</v>
      </c>
      <c r="BI66" s="77"/>
      <c r="BJ66" s="77">
        <v>56</v>
      </c>
      <c r="BU66" s="77" t="e">
        <f>#REF!</f>
        <v>#REF!</v>
      </c>
      <c r="BV66" s="70" t="s">
        <v>1093</v>
      </c>
    </row>
    <row r="67" spans="1:74" ht="40.5" customHeight="1" x14ac:dyDescent="0.25">
      <c r="A67" s="104"/>
      <c r="B67" s="81" t="s">
        <v>138</v>
      </c>
      <c r="C67" s="303" t="s">
        <v>1158</v>
      </c>
      <c r="D67" s="304"/>
      <c r="E67" s="304"/>
      <c r="F67" s="304"/>
      <c r="G67" s="304"/>
      <c r="H67" s="304"/>
      <c r="I67" s="304"/>
      <c r="J67" s="304"/>
      <c r="K67" s="304"/>
      <c r="L67" s="304"/>
      <c r="M67" s="305"/>
    </row>
    <row r="68" spans="1:74" x14ac:dyDescent="0.25">
      <c r="A68" s="92" t="s">
        <v>245</v>
      </c>
      <c r="B68" s="69" t="s">
        <v>305</v>
      </c>
      <c r="C68" s="306" t="s">
        <v>306</v>
      </c>
      <c r="D68" s="307"/>
      <c r="E68" s="69" t="s">
        <v>166</v>
      </c>
      <c r="F68" s="77">
        <v>5.29</v>
      </c>
      <c r="G68" s="218">
        <v>0</v>
      </c>
      <c r="H68" s="77">
        <f>F68*AM68</f>
        <v>0</v>
      </c>
      <c r="I68" s="77">
        <f>F68*AN68</f>
        <v>0</v>
      </c>
      <c r="J68" s="77">
        <f>F68*G68</f>
        <v>0</v>
      </c>
      <c r="K68" s="77">
        <v>0.48574000000000001</v>
      </c>
      <c r="L68" s="77">
        <f>F68*K68</f>
        <v>2.5695646000000001</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G68*0.813424642</f>
        <v>0</v>
      </c>
      <c r="AN68" s="77">
        <f>G68*(1-0.813424642)</f>
        <v>0</v>
      </c>
      <c r="AO68" s="79" t="s">
        <v>132</v>
      </c>
      <c r="AT68" s="77">
        <f>AU68+AV68</f>
        <v>0</v>
      </c>
      <c r="AU68" s="77">
        <f>F68*AM68</f>
        <v>0</v>
      </c>
      <c r="AV68" s="77">
        <f>F68*AN68</f>
        <v>0</v>
      </c>
      <c r="AW68" s="79" t="s">
        <v>301</v>
      </c>
      <c r="AX68" s="79" t="s">
        <v>302</v>
      </c>
      <c r="AY68" s="71" t="s">
        <v>137</v>
      </c>
      <c r="BA68" s="77">
        <f>AU68+AV68</f>
        <v>0</v>
      </c>
      <c r="BB68" s="77">
        <f>G68/(100-BC68)*100</f>
        <v>0</v>
      </c>
      <c r="BC68" s="77">
        <v>0</v>
      </c>
      <c r="BD68" s="77">
        <f>L68</f>
        <v>2.5695646000000001</v>
      </c>
      <c r="BF68" s="77">
        <f>F68*AM68</f>
        <v>0</v>
      </c>
      <c r="BG68" s="77">
        <f>F68*AN68</f>
        <v>0</v>
      </c>
      <c r="BH68" s="77">
        <f>F68*G68</f>
        <v>0</v>
      </c>
      <c r="BI68" s="77"/>
      <c r="BJ68" s="77">
        <v>56</v>
      </c>
      <c r="BU68" s="77" t="e">
        <f>#REF!</f>
        <v>#REF!</v>
      </c>
      <c r="BV68" s="70" t="s">
        <v>306</v>
      </c>
    </row>
    <row r="69" spans="1:74" ht="40.5" customHeight="1" x14ac:dyDescent="0.25">
      <c r="A69" s="104"/>
      <c r="B69" s="81" t="s">
        <v>138</v>
      </c>
      <c r="C69" s="303" t="s">
        <v>1159</v>
      </c>
      <c r="D69" s="304"/>
      <c r="E69" s="304"/>
      <c r="F69" s="304"/>
      <c r="G69" s="304"/>
      <c r="H69" s="304"/>
      <c r="I69" s="304"/>
      <c r="J69" s="304"/>
      <c r="K69" s="304"/>
      <c r="L69" s="304"/>
      <c r="M69" s="305"/>
    </row>
    <row r="70" spans="1:74" x14ac:dyDescent="0.25">
      <c r="A70" s="92" t="s">
        <v>250</v>
      </c>
      <c r="B70" s="69" t="s">
        <v>305</v>
      </c>
      <c r="C70" s="306" t="s">
        <v>306</v>
      </c>
      <c r="D70" s="307"/>
      <c r="E70" s="69" t="s">
        <v>166</v>
      </c>
      <c r="F70" s="77">
        <v>5.29</v>
      </c>
      <c r="G70" s="218">
        <v>0</v>
      </c>
      <c r="H70" s="77">
        <f>F70*AM70</f>
        <v>0</v>
      </c>
      <c r="I70" s="77">
        <f>F70*AN70</f>
        <v>0</v>
      </c>
      <c r="J70" s="77">
        <f>F70*G70</f>
        <v>0</v>
      </c>
      <c r="K70" s="77">
        <v>0.48574000000000001</v>
      </c>
      <c r="L70" s="77">
        <f>F70*K70</f>
        <v>2.5695646000000001</v>
      </c>
      <c r="M70" s="103" t="s">
        <v>35</v>
      </c>
      <c r="X70" s="77">
        <f>IF(AO70="5",BH70,0)</f>
        <v>0</v>
      </c>
      <c r="Z70" s="77">
        <f>IF(AO70="1",BF70,0)</f>
        <v>0</v>
      </c>
      <c r="AA70" s="77">
        <f>IF(AO70="1",BG70,0)</f>
        <v>0</v>
      </c>
      <c r="AB70" s="77">
        <f>IF(AO70="7",BF70,0)</f>
        <v>0</v>
      </c>
      <c r="AC70" s="77">
        <f>IF(AO70="7",BG70,0)</f>
        <v>0</v>
      </c>
      <c r="AD70" s="77">
        <f>IF(AO70="2",BF70,0)</f>
        <v>0</v>
      </c>
      <c r="AE70" s="77">
        <f>IF(AO70="2",BG70,0)</f>
        <v>0</v>
      </c>
      <c r="AF70" s="77">
        <f>IF(AO70="0",BH70,0)</f>
        <v>0</v>
      </c>
      <c r="AG70" s="71" t="s">
        <v>129</v>
      </c>
      <c r="AH70" s="77">
        <f>IF(AL70=0,J70,0)</f>
        <v>0</v>
      </c>
      <c r="AI70" s="77">
        <f>IF(AL70=15,J70,0)</f>
        <v>0</v>
      </c>
      <c r="AJ70" s="77">
        <f>IF(AL70=21,J70,0)</f>
        <v>0</v>
      </c>
      <c r="AL70" s="77">
        <v>15</v>
      </c>
      <c r="AM70" s="77">
        <f>G70*0.813424642</f>
        <v>0</v>
      </c>
      <c r="AN70" s="77">
        <f>G70*(1-0.813424642)</f>
        <v>0</v>
      </c>
      <c r="AO70" s="79" t="s">
        <v>132</v>
      </c>
      <c r="AT70" s="77">
        <f>AU70+AV70</f>
        <v>0</v>
      </c>
      <c r="AU70" s="77">
        <f>F70*AM70</f>
        <v>0</v>
      </c>
      <c r="AV70" s="77">
        <f>F70*AN70</f>
        <v>0</v>
      </c>
      <c r="AW70" s="79" t="s">
        <v>301</v>
      </c>
      <c r="AX70" s="79" t="s">
        <v>302</v>
      </c>
      <c r="AY70" s="71" t="s">
        <v>137</v>
      </c>
      <c r="BA70" s="77">
        <f>AU70+AV70</f>
        <v>0</v>
      </c>
      <c r="BB70" s="77">
        <f>G70/(100-BC70)*100</f>
        <v>0</v>
      </c>
      <c r="BC70" s="77">
        <v>0</v>
      </c>
      <c r="BD70" s="77">
        <f>L70</f>
        <v>2.5695646000000001</v>
      </c>
      <c r="BF70" s="77">
        <f>F70*AM70</f>
        <v>0</v>
      </c>
      <c r="BG70" s="77">
        <f>F70*AN70</f>
        <v>0</v>
      </c>
      <c r="BH70" s="77">
        <f>F70*G70</f>
        <v>0</v>
      </c>
      <c r="BI70" s="77"/>
      <c r="BJ70" s="77">
        <v>56</v>
      </c>
      <c r="BU70" s="77" t="e">
        <f>#REF!</f>
        <v>#REF!</v>
      </c>
      <c r="BV70" s="70" t="s">
        <v>306</v>
      </c>
    </row>
    <row r="71" spans="1:74" ht="40.5" customHeight="1" x14ac:dyDescent="0.25">
      <c r="A71" s="104"/>
      <c r="B71" s="81" t="s">
        <v>138</v>
      </c>
      <c r="C71" s="303" t="s">
        <v>1159</v>
      </c>
      <c r="D71" s="304"/>
      <c r="E71" s="304"/>
      <c r="F71" s="304"/>
      <c r="G71" s="304"/>
      <c r="H71" s="304"/>
      <c r="I71" s="304"/>
      <c r="J71" s="304"/>
      <c r="K71" s="304"/>
      <c r="L71" s="304"/>
      <c r="M71" s="305"/>
    </row>
    <row r="72" spans="1:74" x14ac:dyDescent="0.25">
      <c r="A72" s="92" t="s">
        <v>253</v>
      </c>
      <c r="B72" s="69" t="s">
        <v>311</v>
      </c>
      <c r="C72" s="306" t="s">
        <v>312</v>
      </c>
      <c r="D72" s="307"/>
      <c r="E72" s="69" t="s">
        <v>166</v>
      </c>
      <c r="F72" s="77">
        <v>5.2</v>
      </c>
      <c r="G72" s="218">
        <v>0</v>
      </c>
      <c r="H72" s="77">
        <f>F72*AM72</f>
        <v>0</v>
      </c>
      <c r="I72" s="77">
        <f>F72*AN72</f>
        <v>0</v>
      </c>
      <c r="J72" s="77">
        <f>F72*G72</f>
        <v>0</v>
      </c>
      <c r="K72" s="77">
        <v>0.378</v>
      </c>
      <c r="L72" s="77">
        <f>F72*K72</f>
        <v>1.9656</v>
      </c>
      <c r="M72" s="103" t="s">
        <v>35</v>
      </c>
      <c r="X72" s="77">
        <f>IF(AO72="5",BH72,0)</f>
        <v>0</v>
      </c>
      <c r="Z72" s="77">
        <f>IF(AO72="1",BF72,0)</f>
        <v>0</v>
      </c>
      <c r="AA72" s="77">
        <f>IF(AO72="1",BG72,0)</f>
        <v>0</v>
      </c>
      <c r="AB72" s="77">
        <f>IF(AO72="7",BF72,0)</f>
        <v>0</v>
      </c>
      <c r="AC72" s="77">
        <f>IF(AO72="7",BG72,0)</f>
        <v>0</v>
      </c>
      <c r="AD72" s="77">
        <f>IF(AO72="2",BF72,0)</f>
        <v>0</v>
      </c>
      <c r="AE72" s="77">
        <f>IF(AO72="2",BG72,0)</f>
        <v>0</v>
      </c>
      <c r="AF72" s="77">
        <f>IF(AO72="0",BH72,0)</f>
        <v>0</v>
      </c>
      <c r="AG72" s="71" t="s">
        <v>129</v>
      </c>
      <c r="AH72" s="77">
        <f>IF(AL72=0,J72,0)</f>
        <v>0</v>
      </c>
      <c r="AI72" s="77">
        <f>IF(AL72=15,J72,0)</f>
        <v>0</v>
      </c>
      <c r="AJ72" s="77">
        <f>IF(AL72=21,J72,0)</f>
        <v>0</v>
      </c>
      <c r="AL72" s="77">
        <v>15</v>
      </c>
      <c r="AM72" s="77">
        <f>G72*0.826871233</f>
        <v>0</v>
      </c>
      <c r="AN72" s="77">
        <f>G72*(1-0.826871233)</f>
        <v>0</v>
      </c>
      <c r="AO72" s="79" t="s">
        <v>132</v>
      </c>
      <c r="AT72" s="77">
        <f>AU72+AV72</f>
        <v>0</v>
      </c>
      <c r="AU72" s="77">
        <f>F72*AM72</f>
        <v>0</v>
      </c>
      <c r="AV72" s="77">
        <f>F72*AN72</f>
        <v>0</v>
      </c>
      <c r="AW72" s="79" t="s">
        <v>301</v>
      </c>
      <c r="AX72" s="79" t="s">
        <v>302</v>
      </c>
      <c r="AY72" s="71" t="s">
        <v>137</v>
      </c>
      <c r="BA72" s="77">
        <f>AU72+AV72</f>
        <v>0</v>
      </c>
      <c r="BB72" s="77">
        <f>G72/(100-BC72)*100</f>
        <v>0</v>
      </c>
      <c r="BC72" s="77">
        <v>0</v>
      </c>
      <c r="BD72" s="77">
        <f>L72</f>
        <v>1.9656</v>
      </c>
      <c r="BF72" s="77">
        <f>F72*AM72</f>
        <v>0</v>
      </c>
      <c r="BG72" s="77">
        <f>F72*AN72</f>
        <v>0</v>
      </c>
      <c r="BH72" s="77">
        <f>F72*G72</f>
        <v>0</v>
      </c>
      <c r="BI72" s="77"/>
      <c r="BJ72" s="77">
        <v>56</v>
      </c>
      <c r="BU72" s="77" t="e">
        <f>#REF!</f>
        <v>#REF!</v>
      </c>
      <c r="BV72" s="70" t="s">
        <v>312</v>
      </c>
    </row>
    <row r="73" spans="1:74" ht="40.5" customHeight="1" x14ac:dyDescent="0.25">
      <c r="A73" s="104"/>
      <c r="B73" s="81" t="s">
        <v>138</v>
      </c>
      <c r="C73" s="303" t="s">
        <v>1160</v>
      </c>
      <c r="D73" s="304"/>
      <c r="E73" s="304"/>
      <c r="F73" s="304"/>
      <c r="G73" s="304"/>
      <c r="H73" s="304"/>
      <c r="I73" s="304"/>
      <c r="J73" s="304"/>
      <c r="K73" s="304"/>
      <c r="L73" s="304"/>
      <c r="M73" s="305"/>
    </row>
    <row r="74" spans="1:74" x14ac:dyDescent="0.25">
      <c r="A74" s="105" t="s">
        <v>129</v>
      </c>
      <c r="B74" s="74" t="s">
        <v>410</v>
      </c>
      <c r="C74" s="314" t="s">
        <v>1161</v>
      </c>
      <c r="D74" s="315"/>
      <c r="E74" s="75" t="s">
        <v>87</v>
      </c>
      <c r="F74" s="75" t="s">
        <v>87</v>
      </c>
      <c r="G74" s="75" t="s">
        <v>87</v>
      </c>
      <c r="H74" s="67">
        <f>SUM(H75:H75)</f>
        <v>0</v>
      </c>
      <c r="I74" s="67">
        <f>SUM(I75:I75)</f>
        <v>0</v>
      </c>
      <c r="J74" s="67">
        <f>SUM(J75:J75)</f>
        <v>0</v>
      </c>
      <c r="K74" s="71" t="s">
        <v>129</v>
      </c>
      <c r="L74" s="67">
        <f>SUM(L75:L75)</f>
        <v>2.4380649999999999</v>
      </c>
      <c r="M74" s="106" t="s">
        <v>129</v>
      </c>
      <c r="AG74" s="71" t="s">
        <v>129</v>
      </c>
      <c r="AQ74" s="67">
        <f>SUM(AH75:AH75)</f>
        <v>0</v>
      </c>
      <c r="AR74" s="67">
        <f>SUM(AI75:AI75)</f>
        <v>0</v>
      </c>
      <c r="AS74" s="67">
        <f>SUM(AJ75:AJ75)</f>
        <v>0</v>
      </c>
    </row>
    <row r="75" spans="1:74" ht="25.5" x14ac:dyDescent="0.25">
      <c r="A75" s="92" t="s">
        <v>258</v>
      </c>
      <c r="B75" s="69" t="s">
        <v>1162</v>
      </c>
      <c r="C75" s="306" t="s">
        <v>1163</v>
      </c>
      <c r="D75" s="307"/>
      <c r="E75" s="69" t="s">
        <v>166</v>
      </c>
      <c r="F75" s="77">
        <v>2.0499999999999998</v>
      </c>
      <c r="G75" s="218">
        <v>0</v>
      </c>
      <c r="H75" s="77">
        <f>F75*AM75</f>
        <v>0</v>
      </c>
      <c r="I75" s="77">
        <f>F75*AN75</f>
        <v>0</v>
      </c>
      <c r="J75" s="77">
        <f>F75*G75</f>
        <v>0</v>
      </c>
      <c r="K75" s="77">
        <v>1.1893</v>
      </c>
      <c r="L75" s="77">
        <f>F75*K75</f>
        <v>2.4380649999999999</v>
      </c>
      <c r="M75" s="103" t="s">
        <v>35</v>
      </c>
      <c r="X75" s="77">
        <f>IF(AO75="5",BH75,0)</f>
        <v>0</v>
      </c>
      <c r="Z75" s="77">
        <f>IF(AO75="1",BF75,0)</f>
        <v>0</v>
      </c>
      <c r="AA75" s="77">
        <f>IF(AO75="1",BG75,0)</f>
        <v>0</v>
      </c>
      <c r="AB75" s="77">
        <f>IF(AO75="7",BF75,0)</f>
        <v>0</v>
      </c>
      <c r="AC75" s="77">
        <f>IF(AO75="7",BG75,0)</f>
        <v>0</v>
      </c>
      <c r="AD75" s="77">
        <f>IF(AO75="2",BF75,0)</f>
        <v>0</v>
      </c>
      <c r="AE75" s="77">
        <f>IF(AO75="2",BG75,0)</f>
        <v>0</v>
      </c>
      <c r="AF75" s="77">
        <f>IF(AO75="0",BH75,0)</f>
        <v>0</v>
      </c>
      <c r="AG75" s="71" t="s">
        <v>129</v>
      </c>
      <c r="AH75" s="77">
        <f>IF(AL75=0,J75,0)</f>
        <v>0</v>
      </c>
      <c r="AI75" s="77">
        <f>IF(AL75=15,J75,0)</f>
        <v>0</v>
      </c>
      <c r="AJ75" s="77">
        <f>IF(AL75=21,J75,0)</f>
        <v>0</v>
      </c>
      <c r="AL75" s="77">
        <v>15</v>
      </c>
      <c r="AM75" s="77">
        <f>G75*0.544314721</f>
        <v>0</v>
      </c>
      <c r="AN75" s="77">
        <f>G75*(1-0.544314721)</f>
        <v>0</v>
      </c>
      <c r="AO75" s="79" t="s">
        <v>132</v>
      </c>
      <c r="AT75" s="77">
        <f>AU75+AV75</f>
        <v>0</v>
      </c>
      <c r="AU75" s="77">
        <f>F75*AM75</f>
        <v>0</v>
      </c>
      <c r="AV75" s="77">
        <f>F75*AN75</f>
        <v>0</v>
      </c>
      <c r="AW75" s="79" t="s">
        <v>1164</v>
      </c>
      <c r="AX75" s="79" t="s">
        <v>302</v>
      </c>
      <c r="AY75" s="71" t="s">
        <v>137</v>
      </c>
      <c r="BA75" s="77">
        <f>AU75+AV75</f>
        <v>0</v>
      </c>
      <c r="BB75" s="77">
        <f>G75/(100-BC75)*100</f>
        <v>0</v>
      </c>
      <c r="BC75" s="77">
        <v>0</v>
      </c>
      <c r="BD75" s="77">
        <f>L75</f>
        <v>2.4380649999999999</v>
      </c>
      <c r="BF75" s="77">
        <f>F75*AM75</f>
        <v>0</v>
      </c>
      <c r="BG75" s="77">
        <f>F75*AN75</f>
        <v>0</v>
      </c>
      <c r="BH75" s="77">
        <f>F75*G75</f>
        <v>0</v>
      </c>
      <c r="BI75" s="77"/>
      <c r="BJ75" s="77">
        <v>59</v>
      </c>
      <c r="BU75" s="77" t="e">
        <f>#REF!</f>
        <v>#REF!</v>
      </c>
      <c r="BV75" s="70" t="s">
        <v>1163</v>
      </c>
    </row>
    <row r="76" spans="1:74" ht="108" customHeight="1" x14ac:dyDescent="0.25">
      <c r="A76" s="104"/>
      <c r="B76" s="81" t="s">
        <v>138</v>
      </c>
      <c r="C76" s="303" t="s">
        <v>1165</v>
      </c>
      <c r="D76" s="304"/>
      <c r="E76" s="304"/>
      <c r="F76" s="304"/>
      <c r="G76" s="304"/>
      <c r="H76" s="304"/>
      <c r="I76" s="304"/>
      <c r="J76" s="304"/>
      <c r="K76" s="304"/>
      <c r="L76" s="304"/>
      <c r="M76" s="305"/>
    </row>
    <row r="77" spans="1:74" x14ac:dyDescent="0.25">
      <c r="A77" s="105" t="s">
        <v>129</v>
      </c>
      <c r="B77" s="74" t="s">
        <v>1097</v>
      </c>
      <c r="C77" s="314" t="s">
        <v>1098</v>
      </c>
      <c r="D77" s="315"/>
      <c r="E77" s="75" t="s">
        <v>87</v>
      </c>
      <c r="F77" s="75" t="s">
        <v>87</v>
      </c>
      <c r="G77" s="75" t="s">
        <v>87</v>
      </c>
      <c r="H77" s="67">
        <f>SUM(H78:H78)</f>
        <v>0</v>
      </c>
      <c r="I77" s="67">
        <f>SUM(I78:I78)</f>
        <v>0</v>
      </c>
      <c r="J77" s="67">
        <f>SUM(J78:J78)</f>
        <v>0</v>
      </c>
      <c r="K77" s="71" t="s">
        <v>129</v>
      </c>
      <c r="L77" s="67">
        <f>SUM(L78:L78)</f>
        <v>1.371E-2</v>
      </c>
      <c r="M77" s="106" t="s">
        <v>129</v>
      </c>
      <c r="AG77" s="71" t="s">
        <v>129</v>
      </c>
      <c r="AQ77" s="67">
        <f>SUM(AH78:AH78)</f>
        <v>0</v>
      </c>
      <c r="AR77" s="67">
        <f>SUM(AI78:AI78)</f>
        <v>0</v>
      </c>
      <c r="AS77" s="67">
        <f>SUM(AJ78:AJ78)</f>
        <v>0</v>
      </c>
    </row>
    <row r="78" spans="1:74" x14ac:dyDescent="0.25">
      <c r="A78" s="92" t="s">
        <v>263</v>
      </c>
      <c r="B78" s="69" t="s">
        <v>1099</v>
      </c>
      <c r="C78" s="306" t="s">
        <v>1134</v>
      </c>
      <c r="D78" s="307"/>
      <c r="E78" s="69" t="s">
        <v>950</v>
      </c>
      <c r="F78" s="77">
        <v>1</v>
      </c>
      <c r="G78" s="218">
        <v>0</v>
      </c>
      <c r="H78" s="77">
        <f>F78*AM78</f>
        <v>0</v>
      </c>
      <c r="I78" s="77">
        <f>F78*AN78</f>
        <v>0</v>
      </c>
      <c r="J78" s="77">
        <f>F78*G78</f>
        <v>0</v>
      </c>
      <c r="K78" s="77">
        <v>1.371E-2</v>
      </c>
      <c r="L78" s="77">
        <f>F78*K78</f>
        <v>1.371E-2</v>
      </c>
      <c r="M78" s="103" t="s">
        <v>35</v>
      </c>
      <c r="X78" s="77">
        <f>IF(AO78="5",BH78,0)</f>
        <v>0</v>
      </c>
      <c r="Z78" s="77">
        <f>IF(AO78="1",BF78,0)</f>
        <v>0</v>
      </c>
      <c r="AA78" s="77">
        <f>IF(AO78="1",BG78,0)</f>
        <v>0</v>
      </c>
      <c r="AB78" s="77">
        <f>IF(AO78="7",BF78,0)</f>
        <v>0</v>
      </c>
      <c r="AC78" s="77">
        <f>IF(AO78="7",BG78,0)</f>
        <v>0</v>
      </c>
      <c r="AD78" s="77">
        <f>IF(AO78="2",BF78,0)</f>
        <v>0</v>
      </c>
      <c r="AE78" s="77">
        <f>IF(AO78="2",BG78,0)</f>
        <v>0</v>
      </c>
      <c r="AF78" s="77">
        <f>IF(AO78="0",BH78,0)</f>
        <v>0</v>
      </c>
      <c r="AG78" s="71" t="s">
        <v>129</v>
      </c>
      <c r="AH78" s="77">
        <f>IF(AL78=0,J78,0)</f>
        <v>0</v>
      </c>
      <c r="AI78" s="77">
        <f>IF(AL78=15,J78,0)</f>
        <v>0</v>
      </c>
      <c r="AJ78" s="77">
        <f>IF(AL78=21,J78,0)</f>
        <v>0</v>
      </c>
      <c r="AL78" s="77">
        <v>15</v>
      </c>
      <c r="AM78" s="77">
        <f>G78*0.450863732</f>
        <v>0</v>
      </c>
      <c r="AN78" s="77">
        <f>G78*(1-0.450863732)</f>
        <v>0</v>
      </c>
      <c r="AO78" s="79" t="s">
        <v>168</v>
      </c>
      <c r="AT78" s="77">
        <f>AU78+AV78</f>
        <v>0</v>
      </c>
      <c r="AU78" s="77">
        <f>F78*AM78</f>
        <v>0</v>
      </c>
      <c r="AV78" s="77">
        <f>F78*AN78</f>
        <v>0</v>
      </c>
      <c r="AW78" s="79" t="s">
        <v>1101</v>
      </c>
      <c r="AX78" s="79" t="s">
        <v>1102</v>
      </c>
      <c r="AY78" s="71" t="s">
        <v>137</v>
      </c>
      <c r="BA78" s="77">
        <f>AU78+AV78</f>
        <v>0</v>
      </c>
      <c r="BB78" s="77">
        <f>G78/(100-BC78)*100</f>
        <v>0</v>
      </c>
      <c r="BC78" s="77">
        <v>0</v>
      </c>
      <c r="BD78" s="77">
        <f>L78</f>
        <v>1.371E-2</v>
      </c>
      <c r="BF78" s="77">
        <f>F78*AM78</f>
        <v>0</v>
      </c>
      <c r="BG78" s="77">
        <f>F78*AN78</f>
        <v>0</v>
      </c>
      <c r="BH78" s="77">
        <f>F78*G78</f>
        <v>0</v>
      </c>
      <c r="BI78" s="77"/>
      <c r="BJ78" s="77">
        <v>722</v>
      </c>
      <c r="BU78" s="77" t="e">
        <f>#REF!</f>
        <v>#REF!</v>
      </c>
      <c r="BV78" s="70" t="s">
        <v>1134</v>
      </c>
    </row>
    <row r="79" spans="1:74" ht="40.5" customHeight="1" thickBot="1" x14ac:dyDescent="0.3">
      <c r="A79" s="107"/>
      <c r="B79" s="108" t="s">
        <v>138</v>
      </c>
      <c r="C79" s="308" t="s">
        <v>1103</v>
      </c>
      <c r="D79" s="309"/>
      <c r="E79" s="309"/>
      <c r="F79" s="309"/>
      <c r="G79" s="309"/>
      <c r="H79" s="309"/>
      <c r="I79" s="309"/>
      <c r="J79" s="309"/>
      <c r="K79" s="309"/>
      <c r="L79" s="309"/>
      <c r="M79" s="310"/>
    </row>
    <row r="80" spans="1:74" x14ac:dyDescent="0.25">
      <c r="A80" s="97" t="s">
        <v>129</v>
      </c>
      <c r="B80" s="98" t="s">
        <v>651</v>
      </c>
      <c r="C80" s="318" t="s">
        <v>935</v>
      </c>
      <c r="D80" s="319"/>
      <c r="E80" s="99" t="s">
        <v>87</v>
      </c>
      <c r="F80" s="99" t="s">
        <v>87</v>
      </c>
      <c r="G80" s="99" t="s">
        <v>87</v>
      </c>
      <c r="H80" s="100">
        <f>SUM(H81:H81)</f>
        <v>0</v>
      </c>
      <c r="I80" s="100">
        <f>SUM(I81:I81)</f>
        <v>0</v>
      </c>
      <c r="J80" s="100">
        <f>SUM(J81:J81)</f>
        <v>0</v>
      </c>
      <c r="K80" s="101" t="s">
        <v>129</v>
      </c>
      <c r="L80" s="100">
        <f>SUM(L81:L81)</f>
        <v>1.4884100000000002</v>
      </c>
      <c r="M80" s="102" t="s">
        <v>129</v>
      </c>
      <c r="AG80" s="71" t="s">
        <v>129</v>
      </c>
      <c r="AQ80" s="67">
        <f>SUM(AH81:AH81)</f>
        <v>0</v>
      </c>
      <c r="AR80" s="67">
        <f>SUM(AI81:AI81)</f>
        <v>0</v>
      </c>
      <c r="AS80" s="67">
        <f>SUM(AJ81:AJ81)</f>
        <v>0</v>
      </c>
    </row>
    <row r="81" spans="1:74" x14ac:dyDescent="0.25">
      <c r="A81" s="92" t="s">
        <v>268</v>
      </c>
      <c r="B81" s="69" t="s">
        <v>1135</v>
      </c>
      <c r="C81" s="306" t="s">
        <v>1136</v>
      </c>
      <c r="D81" s="307"/>
      <c r="E81" s="69" t="s">
        <v>145</v>
      </c>
      <c r="F81" s="77">
        <v>5.5</v>
      </c>
      <c r="G81" s="218">
        <v>0</v>
      </c>
      <c r="H81" s="77">
        <f>F81*AM81</f>
        <v>0</v>
      </c>
      <c r="I81" s="77">
        <f>F81*AN81</f>
        <v>0</v>
      </c>
      <c r="J81" s="77">
        <f>F81*G81</f>
        <v>0</v>
      </c>
      <c r="K81" s="77">
        <v>0.27062000000000003</v>
      </c>
      <c r="L81" s="77">
        <f>F81*K81</f>
        <v>1.4884100000000002</v>
      </c>
      <c r="M81" s="103" t="s">
        <v>35</v>
      </c>
      <c r="X81" s="77">
        <f>IF(AO81="5",BH81,0)</f>
        <v>0</v>
      </c>
      <c r="Z81" s="77">
        <f>IF(AO81="1",BF81,0)</f>
        <v>0</v>
      </c>
      <c r="AA81" s="77">
        <f>IF(AO81="1",BG81,0)</f>
        <v>0</v>
      </c>
      <c r="AB81" s="77">
        <f>IF(AO81="7",BF81,0)</f>
        <v>0</v>
      </c>
      <c r="AC81" s="77">
        <f>IF(AO81="7",BG81,0)</f>
        <v>0</v>
      </c>
      <c r="AD81" s="77">
        <f>IF(AO81="2",BF81,0)</f>
        <v>0</v>
      </c>
      <c r="AE81" s="77">
        <f>IF(AO81="2",BG81,0)</f>
        <v>0</v>
      </c>
      <c r="AF81" s="77">
        <f>IF(AO81="0",BH81,0)</f>
        <v>0</v>
      </c>
      <c r="AG81" s="71" t="s">
        <v>129</v>
      </c>
      <c r="AH81" s="77">
        <f>IF(AL81=0,J81,0)</f>
        <v>0</v>
      </c>
      <c r="AI81" s="77">
        <f>IF(AL81=15,J81,0)</f>
        <v>0</v>
      </c>
      <c r="AJ81" s="77">
        <f>IF(AL81=21,J81,0)</f>
        <v>0</v>
      </c>
      <c r="AL81" s="77">
        <v>15</v>
      </c>
      <c r="AM81" s="77">
        <f>G81*0.407317595</f>
        <v>0</v>
      </c>
      <c r="AN81" s="77">
        <f>G81*(1-0.407317595)</f>
        <v>0</v>
      </c>
      <c r="AO81" s="79" t="s">
        <v>132</v>
      </c>
      <c r="AT81" s="77">
        <f>AU81+AV81</f>
        <v>0</v>
      </c>
      <c r="AU81" s="77">
        <f>F81*AM81</f>
        <v>0</v>
      </c>
      <c r="AV81" s="77">
        <f>F81*AN81</f>
        <v>0</v>
      </c>
      <c r="AW81" s="79" t="s">
        <v>938</v>
      </c>
      <c r="AX81" s="79" t="s">
        <v>320</v>
      </c>
      <c r="AY81" s="71" t="s">
        <v>137</v>
      </c>
      <c r="BA81" s="77">
        <f>AU81+AV81</f>
        <v>0</v>
      </c>
      <c r="BB81" s="77">
        <f>G81/(100-BC81)*100</f>
        <v>0</v>
      </c>
      <c r="BC81" s="77">
        <v>0</v>
      </c>
      <c r="BD81" s="77">
        <f>L81</f>
        <v>1.4884100000000002</v>
      </c>
      <c r="BF81" s="77">
        <f>F81*AM81</f>
        <v>0</v>
      </c>
      <c r="BG81" s="77">
        <f>F81*AN81</f>
        <v>0</v>
      </c>
      <c r="BH81" s="77">
        <f>F81*G81</f>
        <v>0</v>
      </c>
      <c r="BI81" s="77"/>
      <c r="BJ81" s="77">
        <v>83</v>
      </c>
      <c r="BU81" s="77" t="e">
        <f>#REF!</f>
        <v>#REF!</v>
      </c>
      <c r="BV81" s="70" t="s">
        <v>1136</v>
      </c>
    </row>
    <row r="82" spans="1:74" ht="121.5" customHeight="1" x14ac:dyDescent="0.25">
      <c r="A82" s="104"/>
      <c r="B82" s="81" t="s">
        <v>138</v>
      </c>
      <c r="C82" s="303" t="s">
        <v>1137</v>
      </c>
      <c r="D82" s="304"/>
      <c r="E82" s="304"/>
      <c r="F82" s="304"/>
      <c r="G82" s="304"/>
      <c r="H82" s="304"/>
      <c r="I82" s="304"/>
      <c r="J82" s="304"/>
      <c r="K82" s="304"/>
      <c r="L82" s="304"/>
      <c r="M82" s="305"/>
    </row>
    <row r="83" spans="1:74" x14ac:dyDescent="0.25">
      <c r="A83" s="105" t="s">
        <v>129</v>
      </c>
      <c r="B83" s="74" t="s">
        <v>335</v>
      </c>
      <c r="C83" s="314" t="s">
        <v>336</v>
      </c>
      <c r="D83" s="315"/>
      <c r="E83" s="75" t="s">
        <v>87</v>
      </c>
      <c r="F83" s="75" t="s">
        <v>87</v>
      </c>
      <c r="G83" s="75" t="s">
        <v>87</v>
      </c>
      <c r="H83" s="67">
        <f>SUM(H84:H86)</f>
        <v>0</v>
      </c>
      <c r="I83" s="67">
        <f>SUM(I84:I86)</f>
        <v>0</v>
      </c>
      <c r="J83" s="67">
        <f>SUM(J84:J86)</f>
        <v>0</v>
      </c>
      <c r="K83" s="71" t="s">
        <v>129</v>
      </c>
      <c r="L83" s="67">
        <f>SUM(L84:L86)</f>
        <v>5.0640000000000006E-4</v>
      </c>
      <c r="M83" s="106" t="s">
        <v>129</v>
      </c>
      <c r="AG83" s="71" t="s">
        <v>129</v>
      </c>
      <c r="AQ83" s="67">
        <f>SUM(AH84:AH86)</f>
        <v>0</v>
      </c>
      <c r="AR83" s="67">
        <f>SUM(AI84:AI86)</f>
        <v>0</v>
      </c>
      <c r="AS83" s="67">
        <f>SUM(AJ84:AJ86)</f>
        <v>0</v>
      </c>
    </row>
    <row r="84" spans="1:74" x14ac:dyDescent="0.25">
      <c r="A84" s="92" t="s">
        <v>274</v>
      </c>
      <c r="B84" s="69" t="s">
        <v>375</v>
      </c>
      <c r="C84" s="306" t="s">
        <v>376</v>
      </c>
      <c r="D84" s="307"/>
      <c r="E84" s="69" t="s">
        <v>145</v>
      </c>
      <c r="F84" s="77">
        <v>6.05</v>
      </c>
      <c r="G84" s="218">
        <v>0</v>
      </c>
      <c r="H84" s="77">
        <f>F84*AM84</f>
        <v>0</v>
      </c>
      <c r="I84" s="77">
        <f>F84*AN84</f>
        <v>0</v>
      </c>
      <c r="J84" s="77">
        <f>F84*G84</f>
        <v>0</v>
      </c>
      <c r="K84" s="77">
        <v>0</v>
      </c>
      <c r="L84" s="77">
        <f>F84*K84</f>
        <v>0</v>
      </c>
      <c r="M84" s="103" t="s">
        <v>35</v>
      </c>
      <c r="X84" s="77">
        <f>IF(AO84="5",BH84,0)</f>
        <v>0</v>
      </c>
      <c r="Z84" s="77">
        <f>IF(AO84="1",BF84,0)</f>
        <v>0</v>
      </c>
      <c r="AA84" s="77">
        <f>IF(AO84="1",BG84,0)</f>
        <v>0</v>
      </c>
      <c r="AB84" s="77">
        <f>IF(AO84="7",BF84,0)</f>
        <v>0</v>
      </c>
      <c r="AC84" s="77">
        <f>IF(AO84="7",BG84,0)</f>
        <v>0</v>
      </c>
      <c r="AD84" s="77">
        <f>IF(AO84="2",BF84,0)</f>
        <v>0</v>
      </c>
      <c r="AE84" s="77">
        <f>IF(AO84="2",BG84,0)</f>
        <v>0</v>
      </c>
      <c r="AF84" s="77">
        <f>IF(AO84="0",BH84,0)</f>
        <v>0</v>
      </c>
      <c r="AG84" s="71" t="s">
        <v>129</v>
      </c>
      <c r="AH84" s="77">
        <f>IF(AL84=0,J84,0)</f>
        <v>0</v>
      </c>
      <c r="AI84" s="77">
        <f>IF(AL84=15,J84,0)</f>
        <v>0</v>
      </c>
      <c r="AJ84" s="77">
        <f>IF(AL84=21,J84,0)</f>
        <v>0</v>
      </c>
      <c r="AL84" s="77">
        <v>15</v>
      </c>
      <c r="AM84" s="77">
        <f>G84*0.352779292</f>
        <v>0</v>
      </c>
      <c r="AN84" s="77">
        <f>G84*(1-0.352779292)</f>
        <v>0</v>
      </c>
      <c r="AO84" s="79" t="s">
        <v>132</v>
      </c>
      <c r="AT84" s="77">
        <f>AU84+AV84</f>
        <v>0</v>
      </c>
      <c r="AU84" s="77">
        <f>F84*AM84</f>
        <v>0</v>
      </c>
      <c r="AV84" s="77">
        <f>F84*AN84</f>
        <v>0</v>
      </c>
      <c r="AW84" s="79" t="s">
        <v>340</v>
      </c>
      <c r="AX84" s="79" t="s">
        <v>320</v>
      </c>
      <c r="AY84" s="71" t="s">
        <v>137</v>
      </c>
      <c r="BA84" s="77">
        <f>AU84+AV84</f>
        <v>0</v>
      </c>
      <c r="BB84" s="77">
        <f>G84/(100-BC84)*100</f>
        <v>0</v>
      </c>
      <c r="BC84" s="77">
        <v>0</v>
      </c>
      <c r="BD84" s="77">
        <f>L84</f>
        <v>0</v>
      </c>
      <c r="BF84" s="77">
        <f>F84*AM84</f>
        <v>0</v>
      </c>
      <c r="BG84" s="77">
        <f>F84*AN84</f>
        <v>0</v>
      </c>
      <c r="BH84" s="77">
        <f>F84*G84</f>
        <v>0</v>
      </c>
      <c r="BI84" s="77"/>
      <c r="BJ84" s="77">
        <v>89</v>
      </c>
      <c r="BU84" s="77" t="e">
        <f>#REF!</f>
        <v>#REF!</v>
      </c>
      <c r="BV84" s="70" t="s">
        <v>376</v>
      </c>
    </row>
    <row r="85" spans="1:74" ht="40.5" customHeight="1" x14ac:dyDescent="0.25">
      <c r="A85" s="104"/>
      <c r="B85" s="81" t="s">
        <v>138</v>
      </c>
      <c r="C85" s="303" t="s">
        <v>1138</v>
      </c>
      <c r="D85" s="304"/>
      <c r="E85" s="304"/>
      <c r="F85" s="304"/>
      <c r="G85" s="304"/>
      <c r="H85" s="304"/>
      <c r="I85" s="304"/>
      <c r="J85" s="304"/>
      <c r="K85" s="304"/>
      <c r="L85" s="304"/>
      <c r="M85" s="305"/>
    </row>
    <row r="86" spans="1:74" x14ac:dyDescent="0.25">
      <c r="A86" s="92" t="s">
        <v>278</v>
      </c>
      <c r="B86" s="69" t="s">
        <v>1108</v>
      </c>
      <c r="C86" s="306" t="s">
        <v>1109</v>
      </c>
      <c r="D86" s="307"/>
      <c r="E86" s="69" t="s">
        <v>145</v>
      </c>
      <c r="F86" s="77">
        <v>6.33</v>
      </c>
      <c r="G86" s="218">
        <v>0</v>
      </c>
      <c r="H86" s="77">
        <f>F86*AM86</f>
        <v>0</v>
      </c>
      <c r="I86" s="77">
        <f>F86*AN86</f>
        <v>0</v>
      </c>
      <c r="J86" s="77">
        <f>F86*G86</f>
        <v>0</v>
      </c>
      <c r="K86" s="77">
        <v>8.0000000000000007E-5</v>
      </c>
      <c r="L86" s="77">
        <f>F86*K86</f>
        <v>5.0640000000000006E-4</v>
      </c>
      <c r="M86" s="103" t="s">
        <v>35</v>
      </c>
      <c r="X86" s="77">
        <f>IF(AO86="5",BH86,0)</f>
        <v>0</v>
      </c>
      <c r="Z86" s="77">
        <f>IF(AO86="1",BF86,0)</f>
        <v>0</v>
      </c>
      <c r="AA86" s="77">
        <f>IF(AO86="1",BG86,0)</f>
        <v>0</v>
      </c>
      <c r="AB86" s="77">
        <f>IF(AO86="7",BF86,0)</f>
        <v>0</v>
      </c>
      <c r="AC86" s="77">
        <f>IF(AO86="7",BG86,0)</f>
        <v>0</v>
      </c>
      <c r="AD86" s="77">
        <f>IF(AO86="2",BF86,0)</f>
        <v>0</v>
      </c>
      <c r="AE86" s="77">
        <f>IF(AO86="2",BG86,0)</f>
        <v>0</v>
      </c>
      <c r="AF86" s="77">
        <f>IF(AO86="0",BH86,0)</f>
        <v>0</v>
      </c>
      <c r="AG86" s="71" t="s">
        <v>129</v>
      </c>
      <c r="AH86" s="77">
        <f>IF(AL86=0,J86,0)</f>
        <v>0</v>
      </c>
      <c r="AI86" s="77">
        <f>IF(AL86=15,J86,0)</f>
        <v>0</v>
      </c>
      <c r="AJ86" s="77">
        <f>IF(AL86=21,J86,0)</f>
        <v>0</v>
      </c>
      <c r="AL86" s="77">
        <v>15</v>
      </c>
      <c r="AM86" s="77">
        <f>G86*0.585424204</f>
        <v>0</v>
      </c>
      <c r="AN86" s="77">
        <f>G86*(1-0.585424204)</f>
        <v>0</v>
      </c>
      <c r="AO86" s="79" t="s">
        <v>132</v>
      </c>
      <c r="AT86" s="77">
        <f>AU86+AV86</f>
        <v>0</v>
      </c>
      <c r="AU86" s="77">
        <f>F86*AM86</f>
        <v>0</v>
      </c>
      <c r="AV86" s="77">
        <f>F86*AN86</f>
        <v>0</v>
      </c>
      <c r="AW86" s="79" t="s">
        <v>340</v>
      </c>
      <c r="AX86" s="79" t="s">
        <v>320</v>
      </c>
      <c r="AY86" s="71" t="s">
        <v>137</v>
      </c>
      <c r="BA86" s="77">
        <f>AU86+AV86</f>
        <v>0</v>
      </c>
      <c r="BB86" s="77">
        <f>G86/(100-BC86)*100</f>
        <v>0</v>
      </c>
      <c r="BC86" s="77">
        <v>0</v>
      </c>
      <c r="BD86" s="77">
        <f>L86</f>
        <v>5.0640000000000006E-4</v>
      </c>
      <c r="BF86" s="77">
        <f>F86*AM86</f>
        <v>0</v>
      </c>
      <c r="BG86" s="77">
        <f>F86*AN86</f>
        <v>0</v>
      </c>
      <c r="BH86" s="77">
        <f>F86*G86</f>
        <v>0</v>
      </c>
      <c r="BI86" s="77"/>
      <c r="BJ86" s="77">
        <v>89</v>
      </c>
      <c r="BU86" s="77" t="e">
        <f>#REF!</f>
        <v>#REF!</v>
      </c>
      <c r="BV86" s="70" t="s">
        <v>1109</v>
      </c>
    </row>
    <row r="87" spans="1:74" ht="40.5" customHeight="1" x14ac:dyDescent="0.25">
      <c r="A87" s="104"/>
      <c r="B87" s="81" t="s">
        <v>138</v>
      </c>
      <c r="C87" s="303" t="s">
        <v>1139</v>
      </c>
      <c r="D87" s="304"/>
      <c r="E87" s="304"/>
      <c r="F87" s="304"/>
      <c r="G87" s="304"/>
      <c r="H87" s="304"/>
      <c r="I87" s="304"/>
      <c r="J87" s="304"/>
      <c r="K87" s="304"/>
      <c r="L87" s="304"/>
      <c r="M87" s="305"/>
    </row>
    <row r="88" spans="1:74" x14ac:dyDescent="0.25">
      <c r="A88" s="105" t="s">
        <v>129</v>
      </c>
      <c r="B88" s="74" t="s">
        <v>378</v>
      </c>
      <c r="C88" s="314" t="s">
        <v>379</v>
      </c>
      <c r="D88" s="315"/>
      <c r="E88" s="75" t="s">
        <v>87</v>
      </c>
      <c r="F88" s="75" t="s">
        <v>87</v>
      </c>
      <c r="G88" s="75" t="s">
        <v>87</v>
      </c>
      <c r="H88" s="67">
        <f>SUM(H89:H89)</f>
        <v>0</v>
      </c>
      <c r="I88" s="67">
        <f>SUM(I89:I89)</f>
        <v>0</v>
      </c>
      <c r="J88" s="67">
        <f>SUM(J89:J89)</f>
        <v>0</v>
      </c>
      <c r="K88" s="71" t="s">
        <v>129</v>
      </c>
      <c r="L88" s="67">
        <f>SUM(L89:L89)</f>
        <v>0</v>
      </c>
      <c r="M88" s="106" t="s">
        <v>129</v>
      </c>
      <c r="AG88" s="71" t="s">
        <v>129</v>
      </c>
      <c r="AQ88" s="67">
        <f>SUM(AH89:AH89)</f>
        <v>0</v>
      </c>
      <c r="AR88" s="67">
        <f>SUM(AI89:AI89)</f>
        <v>0</v>
      </c>
      <c r="AS88" s="67">
        <f>SUM(AJ89:AJ89)</f>
        <v>0</v>
      </c>
    </row>
    <row r="89" spans="1:74" x14ac:dyDescent="0.25">
      <c r="A89" s="92" t="s">
        <v>283</v>
      </c>
      <c r="B89" s="69" t="s">
        <v>381</v>
      </c>
      <c r="C89" s="306" t="s">
        <v>382</v>
      </c>
      <c r="D89" s="307"/>
      <c r="E89" s="69" t="s">
        <v>281</v>
      </c>
      <c r="F89" s="77">
        <v>10.33</v>
      </c>
      <c r="G89" s="218">
        <v>0</v>
      </c>
      <c r="H89" s="77">
        <f>F89*AM89</f>
        <v>0</v>
      </c>
      <c r="I89" s="77">
        <f>F89*AN89</f>
        <v>0</v>
      </c>
      <c r="J89" s="77">
        <f>F89*G89</f>
        <v>0</v>
      </c>
      <c r="K89" s="77">
        <v>0</v>
      </c>
      <c r="L89" s="77">
        <f>F89*K89</f>
        <v>0</v>
      </c>
      <c r="M89" s="103" t="s">
        <v>35</v>
      </c>
      <c r="X89" s="77">
        <f>IF(AO89="5",BH89,0)</f>
        <v>0</v>
      </c>
      <c r="Z89" s="77">
        <f>IF(AO89="1",BF89,0)</f>
        <v>0</v>
      </c>
      <c r="AA89" s="77">
        <f>IF(AO89="1",BG89,0)</f>
        <v>0</v>
      </c>
      <c r="AB89" s="77">
        <f>IF(AO89="7",BF89,0)</f>
        <v>0</v>
      </c>
      <c r="AC89" s="77">
        <f>IF(AO89="7",BG89,0)</f>
        <v>0</v>
      </c>
      <c r="AD89" s="77">
        <f>IF(AO89="2",BF89,0)</f>
        <v>0</v>
      </c>
      <c r="AE89" s="77">
        <f>IF(AO89="2",BG89,0)</f>
        <v>0</v>
      </c>
      <c r="AF89" s="77">
        <f>IF(AO89="0",BH89,0)</f>
        <v>0</v>
      </c>
      <c r="AG89" s="71" t="s">
        <v>129</v>
      </c>
      <c r="AH89" s="77">
        <f>IF(AL89=0,J89,0)</f>
        <v>0</v>
      </c>
      <c r="AI89" s="77">
        <f>IF(AL89=15,J89,0)</f>
        <v>0</v>
      </c>
      <c r="AJ89" s="77">
        <f>IF(AL89=21,J89,0)</f>
        <v>0</v>
      </c>
      <c r="AL89" s="77">
        <v>15</v>
      </c>
      <c r="AM89" s="77">
        <f>G89*0</f>
        <v>0</v>
      </c>
      <c r="AN89" s="77">
        <f>G89*(1-0)</f>
        <v>0</v>
      </c>
      <c r="AO89" s="79" t="s">
        <v>132</v>
      </c>
      <c r="AT89" s="77">
        <f>AU89+AV89</f>
        <v>0</v>
      </c>
      <c r="AU89" s="77">
        <f>F89*AM89</f>
        <v>0</v>
      </c>
      <c r="AV89" s="77">
        <f>F89*AN89</f>
        <v>0</v>
      </c>
      <c r="AW89" s="79" t="s">
        <v>383</v>
      </c>
      <c r="AX89" s="79" t="s">
        <v>384</v>
      </c>
      <c r="AY89" s="71" t="s">
        <v>137</v>
      </c>
      <c r="BA89" s="77">
        <f>AU89+AV89</f>
        <v>0</v>
      </c>
      <c r="BB89" s="77">
        <f>G89/(100-BC89)*100</f>
        <v>0</v>
      </c>
      <c r="BC89" s="77">
        <v>0</v>
      </c>
      <c r="BD89" s="77">
        <f>L89</f>
        <v>0</v>
      </c>
      <c r="BF89" s="77">
        <f>F89*AM89</f>
        <v>0</v>
      </c>
      <c r="BG89" s="77">
        <f>F89*AN89</f>
        <v>0</v>
      </c>
      <c r="BH89" s="77">
        <f>F89*G89</f>
        <v>0</v>
      </c>
      <c r="BI89" s="77"/>
      <c r="BJ89" s="77">
        <v>97</v>
      </c>
      <c r="BU89" s="77" t="e">
        <f>#REF!</f>
        <v>#REF!</v>
      </c>
      <c r="BV89" s="70" t="s">
        <v>382</v>
      </c>
    </row>
    <row r="90" spans="1:74" ht="40.5" customHeight="1" x14ac:dyDescent="0.25">
      <c r="A90" s="104"/>
      <c r="B90" s="81" t="s">
        <v>138</v>
      </c>
      <c r="C90" s="303" t="s">
        <v>1206</v>
      </c>
      <c r="D90" s="304"/>
      <c r="E90" s="304"/>
      <c r="F90" s="304"/>
      <c r="G90" s="304"/>
      <c r="H90" s="304"/>
      <c r="I90" s="304"/>
      <c r="J90" s="304"/>
      <c r="K90" s="304"/>
      <c r="L90" s="304"/>
      <c r="M90" s="305"/>
    </row>
    <row r="91" spans="1:74" x14ac:dyDescent="0.25">
      <c r="A91" s="105" t="s">
        <v>129</v>
      </c>
      <c r="B91" s="74" t="s">
        <v>386</v>
      </c>
      <c r="C91" s="314" t="s">
        <v>387</v>
      </c>
      <c r="D91" s="315"/>
      <c r="E91" s="75" t="s">
        <v>87</v>
      </c>
      <c r="F91" s="75" t="s">
        <v>87</v>
      </c>
      <c r="G91" s="75" t="s">
        <v>87</v>
      </c>
      <c r="H91" s="67">
        <f>SUM(H92:H99)</f>
        <v>0</v>
      </c>
      <c r="I91" s="67">
        <f>SUM(I92:I99)</f>
        <v>0</v>
      </c>
      <c r="J91" s="67">
        <f>SUM(J92:J99)</f>
        <v>0</v>
      </c>
      <c r="K91" s="71" t="s">
        <v>129</v>
      </c>
      <c r="L91" s="67">
        <f>SUM(L92:L99)</f>
        <v>0</v>
      </c>
      <c r="M91" s="106" t="s">
        <v>129</v>
      </c>
      <c r="AG91" s="71" t="s">
        <v>129</v>
      </c>
      <c r="AQ91" s="67">
        <f>SUM(AH92:AH99)</f>
        <v>0</v>
      </c>
      <c r="AR91" s="67">
        <f>SUM(AI92:AI99)</f>
        <v>0</v>
      </c>
      <c r="AS91" s="67">
        <f>SUM(AJ92:AJ99)</f>
        <v>0</v>
      </c>
    </row>
    <row r="92" spans="1:74" x14ac:dyDescent="0.25">
      <c r="A92" s="92" t="s">
        <v>290</v>
      </c>
      <c r="B92" s="69" t="s">
        <v>389</v>
      </c>
      <c r="C92" s="306" t="s">
        <v>390</v>
      </c>
      <c r="D92" s="307"/>
      <c r="E92" s="69" t="s">
        <v>281</v>
      </c>
      <c r="F92" s="77">
        <v>4.91</v>
      </c>
      <c r="G92" s="218">
        <v>0</v>
      </c>
      <c r="H92" s="77">
        <f>F92*AM92</f>
        <v>0</v>
      </c>
      <c r="I92" s="77">
        <f>F92*AN92</f>
        <v>0</v>
      </c>
      <c r="J92" s="77">
        <f>F92*G92</f>
        <v>0</v>
      </c>
      <c r="K92" s="77">
        <v>0</v>
      </c>
      <c r="L92" s="77">
        <f>F92*K92</f>
        <v>0</v>
      </c>
      <c r="M92" s="103" t="s">
        <v>35</v>
      </c>
      <c r="X92" s="77">
        <f>IF(AO92="5",BH92,0)</f>
        <v>0</v>
      </c>
      <c r="Z92" s="77">
        <f>IF(AO92="1",BF92,0)</f>
        <v>0</v>
      </c>
      <c r="AA92" s="77">
        <f>IF(AO92="1",BG92,0)</f>
        <v>0</v>
      </c>
      <c r="AB92" s="77">
        <f>IF(AO92="7",BF92,0)</f>
        <v>0</v>
      </c>
      <c r="AC92" s="77">
        <f>IF(AO92="7",BG92,0)</f>
        <v>0</v>
      </c>
      <c r="AD92" s="77">
        <f>IF(AO92="2",BF92,0)</f>
        <v>0</v>
      </c>
      <c r="AE92" s="77">
        <f>IF(AO92="2",BG92,0)</f>
        <v>0</v>
      </c>
      <c r="AF92" s="77">
        <f>IF(AO92="0",BH92,0)</f>
        <v>0</v>
      </c>
      <c r="AG92" s="71" t="s">
        <v>129</v>
      </c>
      <c r="AH92" s="77">
        <f>IF(AL92=0,J92,0)</f>
        <v>0</v>
      </c>
      <c r="AI92" s="77">
        <f>IF(AL92=15,J92,0)</f>
        <v>0</v>
      </c>
      <c r="AJ92" s="77">
        <f>IF(AL92=21,J92,0)</f>
        <v>0</v>
      </c>
      <c r="AL92" s="77">
        <v>15</v>
      </c>
      <c r="AM92" s="77">
        <f>G92*0</f>
        <v>0</v>
      </c>
      <c r="AN92" s="77">
        <f>G92*(1-0)</f>
        <v>0</v>
      </c>
      <c r="AO92" s="79" t="s">
        <v>158</v>
      </c>
      <c r="AT92" s="77">
        <f>AU92+AV92</f>
        <v>0</v>
      </c>
      <c r="AU92" s="77">
        <f>F92*AM92</f>
        <v>0</v>
      </c>
      <c r="AV92" s="77">
        <f>F92*AN92</f>
        <v>0</v>
      </c>
      <c r="AW92" s="79" t="s">
        <v>391</v>
      </c>
      <c r="AX92" s="79" t="s">
        <v>384</v>
      </c>
      <c r="AY92" s="71" t="s">
        <v>137</v>
      </c>
      <c r="BA92" s="77">
        <f>AU92+AV92</f>
        <v>0</v>
      </c>
      <c r="BB92" s="77">
        <f>G92/(100-BC92)*100</f>
        <v>0</v>
      </c>
      <c r="BC92" s="77">
        <v>0</v>
      </c>
      <c r="BD92" s="77">
        <f>L92</f>
        <v>0</v>
      </c>
      <c r="BF92" s="77">
        <f>F92*AM92</f>
        <v>0</v>
      </c>
      <c r="BG92" s="77">
        <f>F92*AN92</f>
        <v>0</v>
      </c>
      <c r="BH92" s="77">
        <f>F92*G92</f>
        <v>0</v>
      </c>
      <c r="BI92" s="77"/>
      <c r="BJ92" s="77"/>
      <c r="BU92" s="77" t="e">
        <f>#REF!</f>
        <v>#REF!</v>
      </c>
      <c r="BV92" s="70" t="s">
        <v>390</v>
      </c>
    </row>
    <row r="93" spans="1:74" x14ac:dyDescent="0.25">
      <c r="A93" s="92" t="s">
        <v>298</v>
      </c>
      <c r="B93" s="69" t="s">
        <v>393</v>
      </c>
      <c r="C93" s="306" t="s">
        <v>394</v>
      </c>
      <c r="D93" s="307"/>
      <c r="E93" s="69" t="s">
        <v>281</v>
      </c>
      <c r="F93" s="77">
        <v>18.41</v>
      </c>
      <c r="G93" s="218">
        <v>0</v>
      </c>
      <c r="H93" s="77">
        <f>F93*AM93</f>
        <v>0</v>
      </c>
      <c r="I93" s="77">
        <f>F93*AN93</f>
        <v>0</v>
      </c>
      <c r="J93" s="77">
        <f>F93*G93</f>
        <v>0</v>
      </c>
      <c r="K93" s="77">
        <v>0</v>
      </c>
      <c r="L93" s="77">
        <f>F93*K93</f>
        <v>0</v>
      </c>
      <c r="M93" s="103" t="s">
        <v>35</v>
      </c>
      <c r="X93" s="77">
        <f>IF(AO93="5",BH93,0)</f>
        <v>0</v>
      </c>
      <c r="Z93" s="77">
        <f>IF(AO93="1",BF93,0)</f>
        <v>0</v>
      </c>
      <c r="AA93" s="77">
        <f>IF(AO93="1",BG93,0)</f>
        <v>0</v>
      </c>
      <c r="AB93" s="77">
        <f>IF(AO93="7",BF93,0)</f>
        <v>0</v>
      </c>
      <c r="AC93" s="77">
        <f>IF(AO93="7",BG93,0)</f>
        <v>0</v>
      </c>
      <c r="AD93" s="77">
        <f>IF(AO93="2",BF93,0)</f>
        <v>0</v>
      </c>
      <c r="AE93" s="77">
        <f>IF(AO93="2",BG93,0)</f>
        <v>0</v>
      </c>
      <c r="AF93" s="77">
        <f>IF(AO93="0",BH93,0)</f>
        <v>0</v>
      </c>
      <c r="AG93" s="71" t="s">
        <v>129</v>
      </c>
      <c r="AH93" s="77">
        <f>IF(AL93=0,J93,0)</f>
        <v>0</v>
      </c>
      <c r="AI93" s="77">
        <f>IF(AL93=15,J93,0)</f>
        <v>0</v>
      </c>
      <c r="AJ93" s="77">
        <f>IF(AL93=21,J93,0)</f>
        <v>0</v>
      </c>
      <c r="AL93" s="77">
        <v>15</v>
      </c>
      <c r="AM93" s="77">
        <f>G93*0</f>
        <v>0</v>
      </c>
      <c r="AN93" s="77">
        <f>G93*(1-0)</f>
        <v>0</v>
      </c>
      <c r="AO93" s="79" t="s">
        <v>158</v>
      </c>
      <c r="AT93" s="77">
        <f>AU93+AV93</f>
        <v>0</v>
      </c>
      <c r="AU93" s="77">
        <f>F93*AM93</f>
        <v>0</v>
      </c>
      <c r="AV93" s="77">
        <f>F93*AN93</f>
        <v>0</v>
      </c>
      <c r="AW93" s="79" t="s">
        <v>391</v>
      </c>
      <c r="AX93" s="79" t="s">
        <v>384</v>
      </c>
      <c r="AY93" s="71" t="s">
        <v>137</v>
      </c>
      <c r="BA93" s="77">
        <f>AU93+AV93</f>
        <v>0</v>
      </c>
      <c r="BB93" s="77">
        <f>G93/(100-BC93)*100</f>
        <v>0</v>
      </c>
      <c r="BC93" s="77">
        <v>0</v>
      </c>
      <c r="BD93" s="77">
        <f>L93</f>
        <v>0</v>
      </c>
      <c r="BF93" s="77">
        <f>F93*AM93</f>
        <v>0</v>
      </c>
      <c r="BG93" s="77">
        <f>F93*AN93</f>
        <v>0</v>
      </c>
      <c r="BH93" s="77">
        <f>F93*G93</f>
        <v>0</v>
      </c>
      <c r="BI93" s="77"/>
      <c r="BJ93" s="77"/>
      <c r="BU93" s="77" t="e">
        <f>#REF!</f>
        <v>#REF!</v>
      </c>
      <c r="BV93" s="70" t="s">
        <v>394</v>
      </c>
    </row>
    <row r="94" spans="1:74" ht="40.5" customHeight="1" x14ac:dyDescent="0.25">
      <c r="A94" s="104"/>
      <c r="B94" s="81" t="s">
        <v>138</v>
      </c>
      <c r="C94" s="303" t="s">
        <v>1166</v>
      </c>
      <c r="D94" s="304"/>
      <c r="E94" s="304"/>
      <c r="F94" s="304"/>
      <c r="G94" s="304"/>
      <c r="H94" s="304"/>
      <c r="I94" s="304"/>
      <c r="J94" s="304"/>
      <c r="K94" s="304"/>
      <c r="L94" s="304"/>
      <c r="M94" s="305"/>
    </row>
    <row r="95" spans="1:74" x14ac:dyDescent="0.25">
      <c r="A95" s="92" t="s">
        <v>304</v>
      </c>
      <c r="B95" s="69" t="s">
        <v>798</v>
      </c>
      <c r="C95" s="306" t="s">
        <v>799</v>
      </c>
      <c r="D95" s="307"/>
      <c r="E95" s="69" t="s">
        <v>281</v>
      </c>
      <c r="F95" s="77">
        <v>6.14</v>
      </c>
      <c r="G95" s="218">
        <v>0</v>
      </c>
      <c r="H95" s="77">
        <f>F95*AM95</f>
        <v>0</v>
      </c>
      <c r="I95" s="77">
        <f>F95*AN95</f>
        <v>0</v>
      </c>
      <c r="J95" s="77">
        <f>F95*G95</f>
        <v>0</v>
      </c>
      <c r="K95" s="77">
        <v>0</v>
      </c>
      <c r="L95" s="77">
        <f>F95*K95</f>
        <v>0</v>
      </c>
      <c r="M95" s="103" t="s">
        <v>35</v>
      </c>
      <c r="X95" s="77">
        <f>IF(AO95="5",BH95,0)</f>
        <v>0</v>
      </c>
      <c r="Z95" s="77">
        <f>IF(AO95="1",BF95,0)</f>
        <v>0</v>
      </c>
      <c r="AA95" s="77">
        <f>IF(AO95="1",BG95,0)</f>
        <v>0</v>
      </c>
      <c r="AB95" s="77">
        <f>IF(AO95="7",BF95,0)</f>
        <v>0</v>
      </c>
      <c r="AC95" s="77">
        <f>IF(AO95="7",BG95,0)</f>
        <v>0</v>
      </c>
      <c r="AD95" s="77">
        <f>IF(AO95="2",BF95,0)</f>
        <v>0</v>
      </c>
      <c r="AE95" s="77">
        <f>IF(AO95="2",BG95,0)</f>
        <v>0</v>
      </c>
      <c r="AF95" s="77">
        <f>IF(AO95="0",BH95,0)</f>
        <v>0</v>
      </c>
      <c r="AG95" s="71" t="s">
        <v>129</v>
      </c>
      <c r="AH95" s="77">
        <f>IF(AL95=0,J95,0)</f>
        <v>0</v>
      </c>
      <c r="AI95" s="77">
        <f>IF(AL95=15,J95,0)</f>
        <v>0</v>
      </c>
      <c r="AJ95" s="77">
        <f>IF(AL95=21,J95,0)</f>
        <v>0</v>
      </c>
      <c r="AL95" s="77">
        <v>15</v>
      </c>
      <c r="AM95" s="77">
        <f>G95*0</f>
        <v>0</v>
      </c>
      <c r="AN95" s="77">
        <f>G95*(1-0)</f>
        <v>0</v>
      </c>
      <c r="AO95" s="79" t="s">
        <v>158</v>
      </c>
      <c r="AT95" s="77">
        <f>AU95+AV95</f>
        <v>0</v>
      </c>
      <c r="AU95" s="77">
        <f>F95*AM95</f>
        <v>0</v>
      </c>
      <c r="AV95" s="77">
        <f>F95*AN95</f>
        <v>0</v>
      </c>
      <c r="AW95" s="79" t="s">
        <v>391</v>
      </c>
      <c r="AX95" s="79" t="s">
        <v>384</v>
      </c>
      <c r="AY95" s="71" t="s">
        <v>137</v>
      </c>
      <c r="BA95" s="77">
        <f>AU95+AV95</f>
        <v>0</v>
      </c>
      <c r="BB95" s="77">
        <f>G95/(100-BC95)*100</f>
        <v>0</v>
      </c>
      <c r="BC95" s="77">
        <v>0</v>
      </c>
      <c r="BD95" s="77">
        <f>L95</f>
        <v>0</v>
      </c>
      <c r="BF95" s="77">
        <f>F95*AM95</f>
        <v>0</v>
      </c>
      <c r="BG95" s="77">
        <f>F95*AN95</f>
        <v>0</v>
      </c>
      <c r="BH95" s="77">
        <f>F95*G95</f>
        <v>0</v>
      </c>
      <c r="BI95" s="77"/>
      <c r="BJ95" s="77"/>
      <c r="BU95" s="77" t="e">
        <f>#REF!</f>
        <v>#REF!</v>
      </c>
      <c r="BV95" s="70" t="s">
        <v>799</v>
      </c>
    </row>
    <row r="96" spans="1:74" ht="40.5" customHeight="1" x14ac:dyDescent="0.25">
      <c r="A96" s="104"/>
      <c r="B96" s="81" t="s">
        <v>138</v>
      </c>
      <c r="C96" s="303" t="s">
        <v>1167</v>
      </c>
      <c r="D96" s="304"/>
      <c r="E96" s="304"/>
      <c r="F96" s="304"/>
      <c r="G96" s="304"/>
      <c r="H96" s="304"/>
      <c r="I96" s="304"/>
      <c r="J96" s="304"/>
      <c r="K96" s="304"/>
      <c r="L96" s="304"/>
      <c r="M96" s="305"/>
    </row>
    <row r="97" spans="1:74" ht="25.5" x14ac:dyDescent="0.25">
      <c r="A97" s="92" t="s">
        <v>308</v>
      </c>
      <c r="B97" s="69" t="s">
        <v>389</v>
      </c>
      <c r="C97" s="306" t="s">
        <v>400</v>
      </c>
      <c r="D97" s="307"/>
      <c r="E97" s="69" t="s">
        <v>281</v>
      </c>
      <c r="F97" s="77">
        <v>9.8800000000000008</v>
      </c>
      <c r="G97" s="218">
        <v>0</v>
      </c>
      <c r="H97" s="77">
        <f>F97*AM97</f>
        <v>0</v>
      </c>
      <c r="I97" s="77">
        <f>F97*AN97</f>
        <v>0</v>
      </c>
      <c r="J97" s="77">
        <f>F97*G97</f>
        <v>0</v>
      </c>
      <c r="K97" s="77">
        <v>0</v>
      </c>
      <c r="L97" s="77">
        <f>F97*K97</f>
        <v>0</v>
      </c>
      <c r="M97" s="103" t="s">
        <v>35</v>
      </c>
      <c r="X97" s="77">
        <f>IF(AO97="5",BH97,0)</f>
        <v>0</v>
      </c>
      <c r="Z97" s="77">
        <f>IF(AO97="1",BF97,0)</f>
        <v>0</v>
      </c>
      <c r="AA97" s="77">
        <f>IF(AO97="1",BG97,0)</f>
        <v>0</v>
      </c>
      <c r="AB97" s="77">
        <f>IF(AO97="7",BF97,0)</f>
        <v>0</v>
      </c>
      <c r="AC97" s="77">
        <f>IF(AO97="7",BG97,0)</f>
        <v>0</v>
      </c>
      <c r="AD97" s="77">
        <f>IF(AO97="2",BF97,0)</f>
        <v>0</v>
      </c>
      <c r="AE97" s="77">
        <f>IF(AO97="2",BG97,0)</f>
        <v>0</v>
      </c>
      <c r="AF97" s="77">
        <f>IF(AO97="0",BH97,0)</f>
        <v>0</v>
      </c>
      <c r="AG97" s="71" t="s">
        <v>129</v>
      </c>
      <c r="AH97" s="77">
        <f>IF(AL97=0,J97,0)</f>
        <v>0</v>
      </c>
      <c r="AI97" s="77">
        <f>IF(AL97=15,J97,0)</f>
        <v>0</v>
      </c>
      <c r="AJ97" s="77">
        <f>IF(AL97=21,J97,0)</f>
        <v>0</v>
      </c>
      <c r="AL97" s="77">
        <v>15</v>
      </c>
      <c r="AM97" s="77">
        <f>G97*0</f>
        <v>0</v>
      </c>
      <c r="AN97" s="77">
        <f>G97*(1-0)</f>
        <v>0</v>
      </c>
      <c r="AO97" s="79" t="s">
        <v>158</v>
      </c>
      <c r="AT97" s="77">
        <f>AU97+AV97</f>
        <v>0</v>
      </c>
      <c r="AU97" s="77">
        <f>F97*AM97</f>
        <v>0</v>
      </c>
      <c r="AV97" s="77">
        <f>F97*AN97</f>
        <v>0</v>
      </c>
      <c r="AW97" s="79" t="s">
        <v>391</v>
      </c>
      <c r="AX97" s="79" t="s">
        <v>384</v>
      </c>
      <c r="AY97" s="71" t="s">
        <v>137</v>
      </c>
      <c r="BA97" s="77">
        <f>AU97+AV97</f>
        <v>0</v>
      </c>
      <c r="BB97" s="77">
        <f>G97/(100-BC97)*100</f>
        <v>0</v>
      </c>
      <c r="BC97" s="77">
        <v>0</v>
      </c>
      <c r="BD97" s="77">
        <f>L97</f>
        <v>0</v>
      </c>
      <c r="BF97" s="77">
        <f>F97*AM97</f>
        <v>0</v>
      </c>
      <c r="BG97" s="77">
        <f>F97*AN97</f>
        <v>0</v>
      </c>
      <c r="BH97" s="77">
        <f>F97*G97</f>
        <v>0</v>
      </c>
      <c r="BI97" s="77"/>
      <c r="BJ97" s="77"/>
      <c r="BU97" s="77" t="e">
        <f>#REF!</f>
        <v>#REF!</v>
      </c>
      <c r="BV97" s="70" t="s">
        <v>400</v>
      </c>
    </row>
    <row r="98" spans="1:74" x14ac:dyDescent="0.25">
      <c r="A98" s="92" t="s">
        <v>310</v>
      </c>
      <c r="B98" s="69" t="s">
        <v>1168</v>
      </c>
      <c r="C98" s="306" t="s">
        <v>1169</v>
      </c>
      <c r="D98" s="307"/>
      <c r="E98" s="69" t="s">
        <v>281</v>
      </c>
      <c r="F98" s="77">
        <v>2.66</v>
      </c>
      <c r="G98" s="218">
        <v>0</v>
      </c>
      <c r="H98" s="77">
        <f>F98*AM98</f>
        <v>0</v>
      </c>
      <c r="I98" s="77">
        <f>F98*AN98</f>
        <v>0</v>
      </c>
      <c r="J98" s="77">
        <f>F98*G98</f>
        <v>0</v>
      </c>
      <c r="K98" s="77">
        <v>0</v>
      </c>
      <c r="L98" s="77">
        <f>F98*K98</f>
        <v>0</v>
      </c>
      <c r="M98" s="103" t="s">
        <v>35</v>
      </c>
      <c r="X98" s="77">
        <f>IF(AO98="5",BH98,0)</f>
        <v>0</v>
      </c>
      <c r="Z98" s="77">
        <f>IF(AO98="1",BF98,0)</f>
        <v>0</v>
      </c>
      <c r="AA98" s="77">
        <f>IF(AO98="1",BG98,0)</f>
        <v>0</v>
      </c>
      <c r="AB98" s="77">
        <f>IF(AO98="7",BF98,0)</f>
        <v>0</v>
      </c>
      <c r="AC98" s="77">
        <f>IF(AO98="7",BG98,0)</f>
        <v>0</v>
      </c>
      <c r="AD98" s="77">
        <f>IF(AO98="2",BF98,0)</f>
        <v>0</v>
      </c>
      <c r="AE98" s="77">
        <f>IF(AO98="2",BG98,0)</f>
        <v>0</v>
      </c>
      <c r="AF98" s="77">
        <f>IF(AO98="0",BH98,0)</f>
        <v>0</v>
      </c>
      <c r="AG98" s="71" t="s">
        <v>129</v>
      </c>
      <c r="AH98" s="77">
        <f>IF(AL98=0,J98,0)</f>
        <v>0</v>
      </c>
      <c r="AI98" s="77">
        <f>IF(AL98=15,J98,0)</f>
        <v>0</v>
      </c>
      <c r="AJ98" s="77">
        <f>IF(AL98=21,J98,0)</f>
        <v>0</v>
      </c>
      <c r="AL98" s="77">
        <v>15</v>
      </c>
      <c r="AM98" s="77">
        <f>G98*0</f>
        <v>0</v>
      </c>
      <c r="AN98" s="77">
        <f>G98*(1-0)</f>
        <v>0</v>
      </c>
      <c r="AO98" s="79" t="s">
        <v>158</v>
      </c>
      <c r="AT98" s="77">
        <f>AU98+AV98</f>
        <v>0</v>
      </c>
      <c r="AU98" s="77">
        <f>F98*AM98</f>
        <v>0</v>
      </c>
      <c r="AV98" s="77">
        <f>F98*AN98</f>
        <v>0</v>
      </c>
      <c r="AW98" s="79" t="s">
        <v>391</v>
      </c>
      <c r="AX98" s="79" t="s">
        <v>384</v>
      </c>
      <c r="AY98" s="71" t="s">
        <v>137</v>
      </c>
      <c r="BA98" s="77">
        <f>AU98+AV98</f>
        <v>0</v>
      </c>
      <c r="BB98" s="77">
        <f>G98/(100-BC98)*100</f>
        <v>0</v>
      </c>
      <c r="BC98" s="77">
        <v>0</v>
      </c>
      <c r="BD98" s="77">
        <f>L98</f>
        <v>0</v>
      </c>
      <c r="BF98" s="77">
        <f>F98*AM98</f>
        <v>0</v>
      </c>
      <c r="BG98" s="77">
        <f>F98*AN98</f>
        <v>0</v>
      </c>
      <c r="BH98" s="77">
        <f>F98*G98</f>
        <v>0</v>
      </c>
      <c r="BI98" s="77"/>
      <c r="BJ98" s="77"/>
      <c r="BU98" s="77" t="e">
        <f>#REF!</f>
        <v>#REF!</v>
      </c>
      <c r="BV98" s="70" t="s">
        <v>1169</v>
      </c>
    </row>
    <row r="99" spans="1:74" x14ac:dyDescent="0.25">
      <c r="A99" s="92" t="s">
        <v>316</v>
      </c>
      <c r="B99" s="69" t="s">
        <v>1170</v>
      </c>
      <c r="C99" s="306" t="s">
        <v>1171</v>
      </c>
      <c r="D99" s="307"/>
      <c r="E99" s="69" t="s">
        <v>281</v>
      </c>
      <c r="F99" s="77">
        <v>6.65</v>
      </c>
      <c r="G99" s="218">
        <v>0</v>
      </c>
      <c r="H99" s="77">
        <f>F99*AM99</f>
        <v>0</v>
      </c>
      <c r="I99" s="77">
        <f>F99*AN99</f>
        <v>0</v>
      </c>
      <c r="J99" s="77">
        <f>F99*G99</f>
        <v>0</v>
      </c>
      <c r="K99" s="77">
        <v>0</v>
      </c>
      <c r="L99" s="77">
        <f>F99*K99</f>
        <v>0</v>
      </c>
      <c r="M99" s="103" t="s">
        <v>35</v>
      </c>
      <c r="X99" s="77">
        <f>IF(AO99="5",BH99,0)</f>
        <v>0</v>
      </c>
      <c r="Z99" s="77">
        <f>IF(AO99="1",BF99,0)</f>
        <v>0</v>
      </c>
      <c r="AA99" s="77">
        <f>IF(AO99="1",BG99,0)</f>
        <v>0</v>
      </c>
      <c r="AB99" s="77">
        <f>IF(AO99="7",BF99,0)</f>
        <v>0</v>
      </c>
      <c r="AC99" s="77">
        <f>IF(AO99="7",BG99,0)</f>
        <v>0</v>
      </c>
      <c r="AD99" s="77">
        <f>IF(AO99="2",BF99,0)</f>
        <v>0</v>
      </c>
      <c r="AE99" s="77">
        <f>IF(AO99="2",BG99,0)</f>
        <v>0</v>
      </c>
      <c r="AF99" s="77">
        <f>IF(AO99="0",BH99,0)</f>
        <v>0</v>
      </c>
      <c r="AG99" s="71" t="s">
        <v>129</v>
      </c>
      <c r="AH99" s="77">
        <f>IF(AL99=0,J99,0)</f>
        <v>0</v>
      </c>
      <c r="AI99" s="77">
        <f>IF(AL99=15,J99,0)</f>
        <v>0</v>
      </c>
      <c r="AJ99" s="77">
        <f>IF(AL99=21,J99,0)</f>
        <v>0</v>
      </c>
      <c r="AL99" s="77">
        <v>15</v>
      </c>
      <c r="AM99" s="77">
        <f>G99*0</f>
        <v>0</v>
      </c>
      <c r="AN99" s="77">
        <f>G99*(1-0)</f>
        <v>0</v>
      </c>
      <c r="AO99" s="79" t="s">
        <v>158</v>
      </c>
      <c r="AT99" s="77">
        <f>AU99+AV99</f>
        <v>0</v>
      </c>
      <c r="AU99" s="77">
        <f>F99*AM99</f>
        <v>0</v>
      </c>
      <c r="AV99" s="77">
        <f>F99*AN99</f>
        <v>0</v>
      </c>
      <c r="AW99" s="79" t="s">
        <v>391</v>
      </c>
      <c r="AX99" s="79" t="s">
        <v>384</v>
      </c>
      <c r="AY99" s="71" t="s">
        <v>137</v>
      </c>
      <c r="BA99" s="77">
        <f>AU99+AV99</f>
        <v>0</v>
      </c>
      <c r="BB99" s="77">
        <f>G99/(100-BC99)*100</f>
        <v>0</v>
      </c>
      <c r="BC99" s="77">
        <v>0</v>
      </c>
      <c r="BD99" s="77">
        <f>L99</f>
        <v>0</v>
      </c>
      <c r="BF99" s="77">
        <f>F99*AM99</f>
        <v>0</v>
      </c>
      <c r="BG99" s="77">
        <f>F99*AN99</f>
        <v>0</v>
      </c>
      <c r="BH99" s="77">
        <f>F99*G99</f>
        <v>0</v>
      </c>
      <c r="BI99" s="77"/>
      <c r="BJ99" s="77"/>
      <c r="BU99" s="77" t="e">
        <f>#REF!</f>
        <v>#REF!</v>
      </c>
      <c r="BV99" s="70" t="s">
        <v>1171</v>
      </c>
    </row>
    <row r="100" spans="1:74" ht="40.5" customHeight="1" x14ac:dyDescent="0.25">
      <c r="A100" s="104"/>
      <c r="B100" s="81" t="s">
        <v>138</v>
      </c>
      <c r="C100" s="303" t="s">
        <v>1172</v>
      </c>
      <c r="D100" s="304"/>
      <c r="E100" s="304"/>
      <c r="F100" s="304"/>
      <c r="G100" s="304"/>
      <c r="H100" s="304"/>
      <c r="I100" s="304"/>
      <c r="J100" s="304"/>
      <c r="K100" s="304"/>
      <c r="L100" s="304"/>
      <c r="M100" s="305"/>
    </row>
    <row r="101" spans="1:74" x14ac:dyDescent="0.25">
      <c r="A101" s="105" t="s">
        <v>129</v>
      </c>
      <c r="B101" s="74" t="s">
        <v>401</v>
      </c>
      <c r="C101" s="314" t="s">
        <v>402</v>
      </c>
      <c r="D101" s="315"/>
      <c r="E101" s="75" t="s">
        <v>87</v>
      </c>
      <c r="F101" s="75" t="s">
        <v>87</v>
      </c>
      <c r="G101" s="75" t="s">
        <v>87</v>
      </c>
      <c r="H101" s="67">
        <f>SUM(H102:H103)</f>
        <v>0</v>
      </c>
      <c r="I101" s="67">
        <f>SUM(I102:I103)</f>
        <v>0</v>
      </c>
      <c r="J101" s="67">
        <f>SUM(J102:J103)</f>
        <v>0</v>
      </c>
      <c r="K101" s="71" t="s">
        <v>129</v>
      </c>
      <c r="L101" s="67">
        <f>SUM(L102:L103)</f>
        <v>0</v>
      </c>
      <c r="M101" s="106" t="s">
        <v>129</v>
      </c>
      <c r="AG101" s="71" t="s">
        <v>129</v>
      </c>
      <c r="AQ101" s="67">
        <f>SUM(AH102:AH103)</f>
        <v>0</v>
      </c>
      <c r="AR101" s="67">
        <f>SUM(AI102:AI103)</f>
        <v>0</v>
      </c>
      <c r="AS101" s="67">
        <f>SUM(AJ102:AJ103)</f>
        <v>0</v>
      </c>
    </row>
    <row r="102" spans="1:74" x14ac:dyDescent="0.25">
      <c r="A102" s="92" t="s">
        <v>322</v>
      </c>
      <c r="B102" s="69" t="s">
        <v>404</v>
      </c>
      <c r="C102" s="306" t="s">
        <v>405</v>
      </c>
      <c r="D102" s="307"/>
      <c r="E102" s="69" t="s">
        <v>281</v>
      </c>
      <c r="F102" s="77">
        <v>1.54</v>
      </c>
      <c r="G102" s="218">
        <v>0</v>
      </c>
      <c r="H102" s="77">
        <f>F102*AM102</f>
        <v>0</v>
      </c>
      <c r="I102" s="77">
        <f>F102*AN102</f>
        <v>0</v>
      </c>
      <c r="J102" s="77">
        <f>F102*G102</f>
        <v>0</v>
      </c>
      <c r="K102" s="77">
        <v>0</v>
      </c>
      <c r="L102" s="77">
        <f>F102*K102</f>
        <v>0</v>
      </c>
      <c r="M102" s="103" t="s">
        <v>35</v>
      </c>
      <c r="X102" s="77">
        <f>IF(AO102="5",BH102,0)</f>
        <v>0</v>
      </c>
      <c r="Z102" s="77">
        <f>IF(AO102="1",BF102,0)</f>
        <v>0</v>
      </c>
      <c r="AA102" s="77">
        <f>IF(AO102="1",BG102,0)</f>
        <v>0</v>
      </c>
      <c r="AB102" s="77">
        <f>IF(AO102="7",BF102,0)</f>
        <v>0</v>
      </c>
      <c r="AC102" s="77">
        <f>IF(AO102="7",BG102,0)</f>
        <v>0</v>
      </c>
      <c r="AD102" s="77">
        <f>IF(AO102="2",BF102,0)</f>
        <v>0</v>
      </c>
      <c r="AE102" s="77">
        <f>IF(AO102="2",BG102,0)</f>
        <v>0</v>
      </c>
      <c r="AF102" s="77">
        <f>IF(AO102="0",BH102,0)</f>
        <v>0</v>
      </c>
      <c r="AG102" s="71" t="s">
        <v>129</v>
      </c>
      <c r="AH102" s="77">
        <f>IF(AL102=0,J102,0)</f>
        <v>0</v>
      </c>
      <c r="AI102" s="77">
        <f>IF(AL102=15,J102,0)</f>
        <v>0</v>
      </c>
      <c r="AJ102" s="77">
        <f>IF(AL102=21,J102,0)</f>
        <v>0</v>
      </c>
      <c r="AL102" s="77">
        <v>15</v>
      </c>
      <c r="AM102" s="77">
        <f>G102*0</f>
        <v>0</v>
      </c>
      <c r="AN102" s="77">
        <f>G102*(1-0)</f>
        <v>0</v>
      </c>
      <c r="AO102" s="79" t="s">
        <v>158</v>
      </c>
      <c r="AT102" s="77">
        <f>AU102+AV102</f>
        <v>0</v>
      </c>
      <c r="AU102" s="77">
        <f>F102*AM102</f>
        <v>0</v>
      </c>
      <c r="AV102" s="77">
        <f>F102*AN102</f>
        <v>0</v>
      </c>
      <c r="AW102" s="79" t="s">
        <v>406</v>
      </c>
      <c r="AX102" s="79" t="s">
        <v>384</v>
      </c>
      <c r="AY102" s="71" t="s">
        <v>137</v>
      </c>
      <c r="BA102" s="77">
        <f>AU102+AV102</f>
        <v>0</v>
      </c>
      <c r="BB102" s="77">
        <f>G102/(100-BC102)*100</f>
        <v>0</v>
      </c>
      <c r="BC102" s="77">
        <v>0</v>
      </c>
      <c r="BD102" s="77">
        <f>L102</f>
        <v>0</v>
      </c>
      <c r="BF102" s="77">
        <f>F102*AM102</f>
        <v>0</v>
      </c>
      <c r="BG102" s="77">
        <f>F102*AN102</f>
        <v>0</v>
      </c>
      <c r="BH102" s="77">
        <f>F102*G102</f>
        <v>0</v>
      </c>
      <c r="BI102" s="77"/>
      <c r="BJ102" s="77"/>
      <c r="BU102" s="77" t="e">
        <f>#REF!</f>
        <v>#REF!</v>
      </c>
      <c r="BV102" s="70" t="s">
        <v>405</v>
      </c>
    </row>
    <row r="103" spans="1:74" x14ac:dyDescent="0.25">
      <c r="A103" s="92" t="s">
        <v>327</v>
      </c>
      <c r="B103" s="69" t="s">
        <v>408</v>
      </c>
      <c r="C103" s="306" t="s">
        <v>409</v>
      </c>
      <c r="D103" s="307"/>
      <c r="E103" s="69" t="s">
        <v>281</v>
      </c>
      <c r="F103" s="77">
        <v>4.32</v>
      </c>
      <c r="G103" s="218">
        <v>0</v>
      </c>
      <c r="H103" s="77">
        <f>F103*AM103</f>
        <v>0</v>
      </c>
      <c r="I103" s="77">
        <f>F103*AN103</f>
        <v>0</v>
      </c>
      <c r="J103" s="77">
        <f>F103*G103</f>
        <v>0</v>
      </c>
      <c r="K103" s="77">
        <v>0</v>
      </c>
      <c r="L103" s="77">
        <f>F103*K103</f>
        <v>0</v>
      </c>
      <c r="M103" s="103" t="s">
        <v>35</v>
      </c>
      <c r="X103" s="77">
        <f>IF(AO103="5",BH103,0)</f>
        <v>0</v>
      </c>
      <c r="Z103" s="77">
        <f>IF(AO103="1",BF103,0)</f>
        <v>0</v>
      </c>
      <c r="AA103" s="77">
        <f>IF(AO103="1",BG103,0)</f>
        <v>0</v>
      </c>
      <c r="AB103" s="77">
        <f>IF(AO103="7",BF103,0)</f>
        <v>0</v>
      </c>
      <c r="AC103" s="77">
        <f>IF(AO103="7",BG103,0)</f>
        <v>0</v>
      </c>
      <c r="AD103" s="77">
        <f>IF(AO103="2",BF103,0)</f>
        <v>0</v>
      </c>
      <c r="AE103" s="77">
        <f>IF(AO103="2",BG103,0)</f>
        <v>0</v>
      </c>
      <c r="AF103" s="77">
        <f>IF(AO103="0",BH103,0)</f>
        <v>0</v>
      </c>
      <c r="AG103" s="71" t="s">
        <v>129</v>
      </c>
      <c r="AH103" s="77">
        <f>IF(AL103=0,J103,0)</f>
        <v>0</v>
      </c>
      <c r="AI103" s="77">
        <f>IF(AL103=15,J103,0)</f>
        <v>0</v>
      </c>
      <c r="AJ103" s="77">
        <f>IF(AL103=21,J103,0)</f>
        <v>0</v>
      </c>
      <c r="AL103" s="77">
        <v>15</v>
      </c>
      <c r="AM103" s="77">
        <f>G103*0</f>
        <v>0</v>
      </c>
      <c r="AN103" s="77">
        <f>G103*(1-0)</f>
        <v>0</v>
      </c>
      <c r="AO103" s="79" t="s">
        <v>158</v>
      </c>
      <c r="AT103" s="77">
        <f>AU103+AV103</f>
        <v>0</v>
      </c>
      <c r="AU103" s="77">
        <f>F103*AM103</f>
        <v>0</v>
      </c>
      <c r="AV103" s="77">
        <f>F103*AN103</f>
        <v>0</v>
      </c>
      <c r="AW103" s="79" t="s">
        <v>406</v>
      </c>
      <c r="AX103" s="79" t="s">
        <v>384</v>
      </c>
      <c r="AY103" s="71" t="s">
        <v>137</v>
      </c>
      <c r="BA103" s="77">
        <f>AU103+AV103</f>
        <v>0</v>
      </c>
      <c r="BB103" s="77">
        <f>G103/(100-BC103)*100</f>
        <v>0</v>
      </c>
      <c r="BC103" s="77">
        <v>0</v>
      </c>
      <c r="BD103" s="77">
        <f>L103</f>
        <v>0</v>
      </c>
      <c r="BF103" s="77">
        <f>F103*AM103</f>
        <v>0</v>
      </c>
      <c r="BG103" s="77">
        <f>F103*AN103</f>
        <v>0</v>
      </c>
      <c r="BH103" s="77">
        <f>F103*G103</f>
        <v>0</v>
      </c>
      <c r="BI103" s="77"/>
      <c r="BJ103" s="77"/>
      <c r="BU103" s="77" t="e">
        <f>#REF!</f>
        <v>#REF!</v>
      </c>
      <c r="BV103" s="70" t="s">
        <v>409</v>
      </c>
    </row>
    <row r="104" spans="1:74" x14ac:dyDescent="0.25">
      <c r="A104" s="105" t="s">
        <v>129</v>
      </c>
      <c r="B104" s="74" t="s">
        <v>585</v>
      </c>
      <c r="C104" s="314" t="s">
        <v>586</v>
      </c>
      <c r="D104" s="315"/>
      <c r="E104" s="75" t="s">
        <v>87</v>
      </c>
      <c r="F104" s="75" t="s">
        <v>87</v>
      </c>
      <c r="G104" s="75" t="s">
        <v>87</v>
      </c>
      <c r="H104" s="67">
        <f>SUM(H105:H105)</f>
        <v>0</v>
      </c>
      <c r="I104" s="67">
        <f>SUM(I105:I105)</f>
        <v>0</v>
      </c>
      <c r="J104" s="67">
        <f>SUM(J105:J105)</f>
        <v>0</v>
      </c>
      <c r="K104" s="71" t="s">
        <v>129</v>
      </c>
      <c r="L104" s="67">
        <f>SUM(L105:L105)</f>
        <v>0</v>
      </c>
      <c r="M104" s="106" t="s">
        <v>129</v>
      </c>
      <c r="AG104" s="71" t="s">
        <v>129</v>
      </c>
      <c r="AQ104" s="67">
        <f>SUM(AH105:AH105)</f>
        <v>0</v>
      </c>
      <c r="AR104" s="67">
        <f>SUM(AI105:AI105)</f>
        <v>0</v>
      </c>
      <c r="AS104" s="67">
        <f>SUM(AJ105:AJ105)</f>
        <v>0</v>
      </c>
    </row>
    <row r="105" spans="1:74" ht="15.75" thickBot="1" x14ac:dyDescent="0.3">
      <c r="A105" s="93" t="s">
        <v>331</v>
      </c>
      <c r="B105" s="94" t="s">
        <v>587</v>
      </c>
      <c r="C105" s="316" t="s">
        <v>588</v>
      </c>
      <c r="D105" s="317"/>
      <c r="E105" s="94" t="s">
        <v>281</v>
      </c>
      <c r="F105" s="125">
        <v>0.01</v>
      </c>
      <c r="G105" s="220">
        <v>0</v>
      </c>
      <c r="H105" s="125">
        <f>F105*AM105</f>
        <v>0</v>
      </c>
      <c r="I105" s="125">
        <f>F105*AN105</f>
        <v>0</v>
      </c>
      <c r="J105" s="125">
        <f>F105*G105</f>
        <v>0</v>
      </c>
      <c r="K105" s="125">
        <v>0</v>
      </c>
      <c r="L105" s="125">
        <f>F105*K105</f>
        <v>0</v>
      </c>
      <c r="M105" s="126" t="s">
        <v>35</v>
      </c>
      <c r="X105" s="77">
        <f>IF(AO105="5",BH105,0)</f>
        <v>0</v>
      </c>
      <c r="Z105" s="77">
        <f>IF(AO105="1",BF105,0)</f>
        <v>0</v>
      </c>
      <c r="AA105" s="77">
        <f>IF(AO105="1",BG105,0)</f>
        <v>0</v>
      </c>
      <c r="AB105" s="77">
        <f>IF(AO105="7",BF105,0)</f>
        <v>0</v>
      </c>
      <c r="AC105" s="77">
        <f>IF(AO105="7",BG105,0)</f>
        <v>0</v>
      </c>
      <c r="AD105" s="77">
        <f>IF(AO105="2",BF105,0)</f>
        <v>0</v>
      </c>
      <c r="AE105" s="77">
        <f>IF(AO105="2",BG105,0)</f>
        <v>0</v>
      </c>
      <c r="AF105" s="77">
        <f>IF(AO105="0",BH105,0)</f>
        <v>0</v>
      </c>
      <c r="AG105" s="71" t="s">
        <v>129</v>
      </c>
      <c r="AH105" s="77">
        <f>IF(AL105=0,J105,0)</f>
        <v>0</v>
      </c>
      <c r="AI105" s="77">
        <f>IF(AL105=15,J105,0)</f>
        <v>0</v>
      </c>
      <c r="AJ105" s="77">
        <f>IF(AL105=21,J105,0)</f>
        <v>0</v>
      </c>
      <c r="AL105" s="77">
        <v>15</v>
      </c>
      <c r="AM105" s="77">
        <f>G105*0</f>
        <v>0</v>
      </c>
      <c r="AN105" s="77">
        <f>G105*(1-0)</f>
        <v>0</v>
      </c>
      <c r="AO105" s="79" t="s">
        <v>158</v>
      </c>
      <c r="AT105" s="77">
        <f>AU105+AV105</f>
        <v>0</v>
      </c>
      <c r="AU105" s="77">
        <f>F105*AM105</f>
        <v>0</v>
      </c>
      <c r="AV105" s="77">
        <f>F105*AN105</f>
        <v>0</v>
      </c>
      <c r="AW105" s="79" t="s">
        <v>589</v>
      </c>
      <c r="AX105" s="79" t="s">
        <v>384</v>
      </c>
      <c r="AY105" s="71" t="s">
        <v>137</v>
      </c>
      <c r="BA105" s="77">
        <f>AU105+AV105</f>
        <v>0</v>
      </c>
      <c r="BB105" s="77">
        <f>G105/(100-BC105)*100</f>
        <v>0</v>
      </c>
      <c r="BC105" s="77">
        <v>0</v>
      </c>
      <c r="BD105" s="77">
        <f>L105</f>
        <v>0</v>
      </c>
      <c r="BF105" s="77">
        <f>F105*AM105</f>
        <v>0</v>
      </c>
      <c r="BG105" s="77">
        <f>F105*AN105</f>
        <v>0</v>
      </c>
      <c r="BH105" s="77">
        <f>F105*G105</f>
        <v>0</v>
      </c>
      <c r="BI105" s="77"/>
      <c r="BJ105" s="77"/>
      <c r="BU105" s="77" t="e">
        <f>#REF!</f>
        <v>#REF!</v>
      </c>
      <c r="BV105" s="70" t="s">
        <v>588</v>
      </c>
    </row>
    <row r="106" spans="1:74" x14ac:dyDescent="0.25">
      <c r="H106" s="311" t="s">
        <v>475</v>
      </c>
      <c r="I106" s="311"/>
      <c r="J106" s="84">
        <f>ROUND(J12+J23+J26+J35+J40+J49+J56+J59+J62+J65+J74+J77+J80+J83+J88+J91+J101+J104,1)</f>
        <v>0</v>
      </c>
    </row>
    <row r="107" spans="1:74" x14ac:dyDescent="0.25">
      <c r="A107" s="85" t="s">
        <v>138</v>
      </c>
    </row>
    <row r="108" spans="1:74" ht="27" customHeight="1" x14ac:dyDescent="0.25">
      <c r="A108" s="306" t="s">
        <v>953</v>
      </c>
      <c r="B108" s="307"/>
      <c r="C108" s="307"/>
      <c r="D108" s="307"/>
      <c r="E108" s="307"/>
      <c r="F108" s="307"/>
      <c r="G108" s="307"/>
      <c r="H108" s="307"/>
      <c r="I108" s="307"/>
      <c r="J108" s="307"/>
      <c r="K108" s="307"/>
      <c r="L108" s="307"/>
      <c r="M108" s="307"/>
    </row>
  </sheetData>
  <sheetProtection algorithmName="SHA-512" hashValue="mehYXkGLw8s8BI1MyDw+J3dmcZdGsHkXWr6W7OHvGNch4+dgw92Ry6jeR5X/Ff52vUUz/7HXFUSL3oTygvfcfg==" saltValue="csAKxgdTh07Eqfox9E/kgg==" spinCount="100000" sheet="1" formatCells="0" formatColumns="0" formatRows="0" insertColumns="0" insertRows="0" insertHyperlinks="0"/>
  <mergeCells count="125">
    <mergeCell ref="C104:D104"/>
    <mergeCell ref="C105:D105"/>
    <mergeCell ref="H106:I106"/>
    <mergeCell ref="A108:M108"/>
    <mergeCell ref="C98:D98"/>
    <mergeCell ref="C99:D99"/>
    <mergeCell ref="C100:M100"/>
    <mergeCell ref="C101:D101"/>
    <mergeCell ref="C102:D102"/>
    <mergeCell ref="C103:D103"/>
    <mergeCell ref="C92:D92"/>
    <mergeCell ref="C93:D93"/>
    <mergeCell ref="C94:M94"/>
    <mergeCell ref="C95:D95"/>
    <mergeCell ref="C96:M96"/>
    <mergeCell ref="C97:D97"/>
    <mergeCell ref="C86:D86"/>
    <mergeCell ref="C87:M87"/>
    <mergeCell ref="C88:D88"/>
    <mergeCell ref="C89:D89"/>
    <mergeCell ref="C90:M90"/>
    <mergeCell ref="C91:D91"/>
    <mergeCell ref="C80:D80"/>
    <mergeCell ref="C81:D81"/>
    <mergeCell ref="C82:M82"/>
    <mergeCell ref="C83:D83"/>
    <mergeCell ref="C84:D84"/>
    <mergeCell ref="C85:M85"/>
    <mergeCell ref="C74:D74"/>
    <mergeCell ref="C75:D75"/>
    <mergeCell ref="C76:M76"/>
    <mergeCell ref="C77:D77"/>
    <mergeCell ref="C78:D78"/>
    <mergeCell ref="C79:M79"/>
    <mergeCell ref="C68:D68"/>
    <mergeCell ref="C69:M69"/>
    <mergeCell ref="C70:D70"/>
    <mergeCell ref="C71:M71"/>
    <mergeCell ref="C72:D72"/>
    <mergeCell ref="C73:M73"/>
    <mergeCell ref="C62:D62"/>
    <mergeCell ref="C63:D63"/>
    <mergeCell ref="C64:M64"/>
    <mergeCell ref="C65:D65"/>
    <mergeCell ref="C66:D66"/>
    <mergeCell ref="C67:M67"/>
    <mergeCell ref="C56:D56"/>
    <mergeCell ref="C57:D57"/>
    <mergeCell ref="C58:M58"/>
    <mergeCell ref="C59:D59"/>
    <mergeCell ref="C60:D60"/>
    <mergeCell ref="C61:M61"/>
    <mergeCell ref="C50:D50"/>
    <mergeCell ref="C51:M51"/>
    <mergeCell ref="C52:D52"/>
    <mergeCell ref="C53:M53"/>
    <mergeCell ref="C54:D54"/>
    <mergeCell ref="C55:M55"/>
    <mergeCell ref="C44:M44"/>
    <mergeCell ref="C45:D45"/>
    <mergeCell ref="C46:M46"/>
    <mergeCell ref="C47:D47"/>
    <mergeCell ref="C48:M48"/>
    <mergeCell ref="C49:D49"/>
    <mergeCell ref="C38:D38"/>
    <mergeCell ref="C39:M39"/>
    <mergeCell ref="C40:D40"/>
    <mergeCell ref="C41:D41"/>
    <mergeCell ref="C42:M42"/>
    <mergeCell ref="C43:D43"/>
    <mergeCell ref="C32:M32"/>
    <mergeCell ref="C33:D33"/>
    <mergeCell ref="C34:M34"/>
    <mergeCell ref="C35:D35"/>
    <mergeCell ref="C36:D36"/>
    <mergeCell ref="C37:M37"/>
    <mergeCell ref="C26:D26"/>
    <mergeCell ref="C27:D27"/>
    <mergeCell ref="C28:M28"/>
    <mergeCell ref="C29:D29"/>
    <mergeCell ref="C30:M30"/>
    <mergeCell ref="C31:D31"/>
    <mergeCell ref="C20:M20"/>
    <mergeCell ref="C21:D21"/>
    <mergeCell ref="C22:M22"/>
    <mergeCell ref="C23:D23"/>
    <mergeCell ref="C24:D24"/>
    <mergeCell ref="C25:M25"/>
    <mergeCell ref="C14:M14"/>
    <mergeCell ref="C15:D15"/>
    <mergeCell ref="C16:M16"/>
    <mergeCell ref="C17:D17"/>
    <mergeCell ref="C18:M18"/>
    <mergeCell ref="C19:D19"/>
    <mergeCell ref="I6:M7"/>
    <mergeCell ref="C10:D10"/>
    <mergeCell ref="H10:J10"/>
    <mergeCell ref="K10:L10"/>
    <mergeCell ref="C11:D11"/>
    <mergeCell ref="C12:D12"/>
    <mergeCell ref="C13:D13"/>
    <mergeCell ref="A8:B9"/>
    <mergeCell ref="C8:D9"/>
    <mergeCell ref="E8:F9"/>
    <mergeCell ref="G8:G9"/>
    <mergeCell ref="H8:H9"/>
    <mergeCell ref="I8:M9"/>
    <mergeCell ref="A6:B7"/>
    <mergeCell ref="C6:D7"/>
    <mergeCell ref="E6:F7"/>
    <mergeCell ref="G6:G7"/>
    <mergeCell ref="A4:B5"/>
    <mergeCell ref="C4:D5"/>
    <mergeCell ref="E4:F5"/>
    <mergeCell ref="G4:G5"/>
    <mergeCell ref="H6:H7"/>
    <mergeCell ref="A1:M1"/>
    <mergeCell ref="A2:B3"/>
    <mergeCell ref="C2:D3"/>
    <mergeCell ref="E2:F3"/>
    <mergeCell ref="G2:G3"/>
    <mergeCell ref="H2:H3"/>
    <mergeCell ref="I2:M3"/>
    <mergeCell ref="H4:H5"/>
    <mergeCell ref="I4:M5"/>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3" manualBreakCount="3">
    <brk id="25" max="12" man="1"/>
    <brk id="51" max="12" man="1"/>
    <brk id="79" max="12"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A4486-AB75-4CAB-9618-23EE16E5B032}">
  <sheetPr codeName="List6">
    <pageSetUpPr fitToPage="1"/>
  </sheetPr>
  <dimension ref="A1:BV104"/>
  <sheetViews>
    <sheetView view="pageBreakPreview" zoomScale="40" zoomScaleNormal="70" zoomScaleSheetLayoutView="40" workbookViewId="0">
      <pane ySplit="11" topLeftCell="A12" activePane="bottomLeft" state="frozen"/>
      <selection activeCell="D44" sqref="D44"/>
      <selection pane="bottomLeft" activeCell="C44" sqref="C44:M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1234</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1233</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1070</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140</v>
      </c>
      <c r="C12" s="318" t="s">
        <v>141</v>
      </c>
      <c r="D12" s="319"/>
      <c r="E12" s="99" t="s">
        <v>87</v>
      </c>
      <c r="F12" s="99" t="s">
        <v>87</v>
      </c>
      <c r="G12" s="99" t="s">
        <v>87</v>
      </c>
      <c r="H12" s="100">
        <f>SUM(H13:H17)</f>
        <v>0</v>
      </c>
      <c r="I12" s="100">
        <f>SUM(I13:I17)</f>
        <v>0</v>
      </c>
      <c r="J12" s="100">
        <f>SUM(J13:J17)</f>
        <v>0</v>
      </c>
      <c r="K12" s="101" t="s">
        <v>129</v>
      </c>
      <c r="L12" s="100">
        <f>SUM(L13:L17)</f>
        <v>6.8961020000000008</v>
      </c>
      <c r="M12" s="102" t="s">
        <v>129</v>
      </c>
      <c r="AG12" s="71" t="s">
        <v>129</v>
      </c>
      <c r="AQ12" s="67">
        <f>SUM(AH13:AH17)</f>
        <v>0</v>
      </c>
      <c r="AR12" s="67">
        <f>SUM(AI13:AI17)</f>
        <v>0</v>
      </c>
      <c r="AS12" s="67">
        <f>SUM(AJ13:AJ17)</f>
        <v>0</v>
      </c>
    </row>
    <row r="13" spans="1:74" x14ac:dyDescent="0.25">
      <c r="A13" s="92" t="s">
        <v>132</v>
      </c>
      <c r="B13" s="69" t="s">
        <v>150</v>
      </c>
      <c r="C13" s="306" t="s">
        <v>151</v>
      </c>
      <c r="D13" s="307"/>
      <c r="E13" s="69" t="s">
        <v>145</v>
      </c>
      <c r="F13" s="77">
        <v>3.9</v>
      </c>
      <c r="G13" s="218">
        <v>0</v>
      </c>
      <c r="H13" s="77">
        <f>F13*AM13</f>
        <v>0</v>
      </c>
      <c r="I13" s="77">
        <f>F13*AN13</f>
        <v>0</v>
      </c>
      <c r="J13" s="77">
        <f>F13*G13</f>
        <v>0</v>
      </c>
      <c r="K13" s="77">
        <v>2.478E-2</v>
      </c>
      <c r="L13" s="77">
        <f>F13*K13</f>
        <v>9.6641999999999992E-2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G13*0.057576226</f>
        <v>0</v>
      </c>
      <c r="AN13" s="77">
        <f>G13*(1-0.057576226)</f>
        <v>0</v>
      </c>
      <c r="AO13" s="79" t="s">
        <v>132</v>
      </c>
      <c r="AT13" s="77">
        <f>AU13+AV13</f>
        <v>0</v>
      </c>
      <c r="AU13" s="77">
        <f>F13*AM13</f>
        <v>0</v>
      </c>
      <c r="AV13" s="77">
        <f>F13*AN13</f>
        <v>0</v>
      </c>
      <c r="AW13" s="79" t="s">
        <v>146</v>
      </c>
      <c r="AX13" s="79" t="s">
        <v>147</v>
      </c>
      <c r="AY13" s="71" t="s">
        <v>137</v>
      </c>
      <c r="BA13" s="77">
        <f>AU13+AV13</f>
        <v>0</v>
      </c>
      <c r="BB13" s="77">
        <f>G13/(100-BC13)*100</f>
        <v>0</v>
      </c>
      <c r="BC13" s="77">
        <v>0</v>
      </c>
      <c r="BD13" s="77">
        <f>L13</f>
        <v>9.6641999999999992E-2</v>
      </c>
      <c r="BF13" s="77">
        <f>F13*AM13</f>
        <v>0</v>
      </c>
      <c r="BG13" s="77">
        <f>F13*AN13</f>
        <v>0</v>
      </c>
      <c r="BH13" s="77">
        <f>F13*G13</f>
        <v>0</v>
      </c>
      <c r="BI13" s="77"/>
      <c r="BJ13" s="77">
        <v>11</v>
      </c>
      <c r="BU13" s="77" t="e">
        <f>#REF!</f>
        <v>#REF!</v>
      </c>
      <c r="BV13" s="70" t="s">
        <v>151</v>
      </c>
    </row>
    <row r="14" spans="1:74" ht="40.5" customHeight="1" x14ac:dyDescent="0.25">
      <c r="A14" s="104"/>
      <c r="B14" s="81" t="s">
        <v>138</v>
      </c>
      <c r="C14" s="303" t="s">
        <v>1173</v>
      </c>
      <c r="D14" s="304"/>
      <c r="E14" s="304"/>
      <c r="F14" s="304"/>
      <c r="G14" s="304"/>
      <c r="H14" s="304"/>
      <c r="I14" s="304"/>
      <c r="J14" s="304"/>
      <c r="K14" s="304"/>
      <c r="L14" s="304"/>
      <c r="M14" s="305"/>
    </row>
    <row r="15" spans="1:74" x14ac:dyDescent="0.25">
      <c r="A15" s="92" t="s">
        <v>142</v>
      </c>
      <c r="B15" s="69" t="s">
        <v>493</v>
      </c>
      <c r="C15" s="306" t="s">
        <v>494</v>
      </c>
      <c r="D15" s="307"/>
      <c r="E15" s="69" t="s">
        <v>166</v>
      </c>
      <c r="F15" s="77">
        <v>5.6</v>
      </c>
      <c r="G15" s="218">
        <v>0</v>
      </c>
      <c r="H15" s="77">
        <f>F15*AM15</f>
        <v>0</v>
      </c>
      <c r="I15" s="77">
        <f>F15*AN15</f>
        <v>0</v>
      </c>
      <c r="J15" s="77">
        <f>F15*G15</f>
        <v>0</v>
      </c>
      <c r="K15" s="77">
        <v>0.90010000000000001</v>
      </c>
      <c r="L15" s="77">
        <f>F15*K15</f>
        <v>5.0405600000000002</v>
      </c>
      <c r="M15" s="103" t="s">
        <v>35</v>
      </c>
      <c r="X15" s="77">
        <f>IF(AO15="5",BH15,0)</f>
        <v>0</v>
      </c>
      <c r="Z15" s="77">
        <f>IF(AO15="1",BF15,0)</f>
        <v>0</v>
      </c>
      <c r="AA15" s="77">
        <f>IF(AO15="1",BG15,0)</f>
        <v>0</v>
      </c>
      <c r="AB15" s="77">
        <f>IF(AO15="7",BF15,0)</f>
        <v>0</v>
      </c>
      <c r="AC15" s="77">
        <f>IF(AO15="7",BG15,0)</f>
        <v>0</v>
      </c>
      <c r="AD15" s="77">
        <f>IF(AO15="2",BF15,0)</f>
        <v>0</v>
      </c>
      <c r="AE15" s="77">
        <f>IF(AO15="2",BG15,0)</f>
        <v>0</v>
      </c>
      <c r="AF15" s="77">
        <f>IF(AO15="0",BH15,0)</f>
        <v>0</v>
      </c>
      <c r="AG15" s="71" t="s">
        <v>129</v>
      </c>
      <c r="AH15" s="77">
        <f>IF(AL15=0,J15,0)</f>
        <v>0</v>
      </c>
      <c r="AI15" s="77">
        <f>IF(AL15=15,J15,0)</f>
        <v>0</v>
      </c>
      <c r="AJ15" s="77">
        <f>IF(AL15=21,J15,0)</f>
        <v>0</v>
      </c>
      <c r="AL15" s="77">
        <v>15</v>
      </c>
      <c r="AM15" s="77">
        <f>G15*0.006611208</f>
        <v>0</v>
      </c>
      <c r="AN15" s="77">
        <f>G15*(1-0.006611208)</f>
        <v>0</v>
      </c>
      <c r="AO15" s="79" t="s">
        <v>132</v>
      </c>
      <c r="AT15" s="77">
        <f>AU15+AV15</f>
        <v>0</v>
      </c>
      <c r="AU15" s="77">
        <f>F15*AM15</f>
        <v>0</v>
      </c>
      <c r="AV15" s="77">
        <f>F15*AN15</f>
        <v>0</v>
      </c>
      <c r="AW15" s="79" t="s">
        <v>146</v>
      </c>
      <c r="AX15" s="79" t="s">
        <v>147</v>
      </c>
      <c r="AY15" s="71" t="s">
        <v>137</v>
      </c>
      <c r="BA15" s="77">
        <f>AU15+AV15</f>
        <v>0</v>
      </c>
      <c r="BB15" s="77">
        <f>G15/(100-BC15)*100</f>
        <v>0</v>
      </c>
      <c r="BC15" s="77">
        <v>0</v>
      </c>
      <c r="BD15" s="77">
        <f>L15</f>
        <v>5.0405600000000002</v>
      </c>
      <c r="BF15" s="77">
        <f>F15*AM15</f>
        <v>0</v>
      </c>
      <c r="BG15" s="77">
        <f>F15*AN15</f>
        <v>0</v>
      </c>
      <c r="BH15" s="77">
        <f>F15*G15</f>
        <v>0</v>
      </c>
      <c r="BI15" s="77"/>
      <c r="BJ15" s="77">
        <v>11</v>
      </c>
      <c r="BU15" s="77" t="e">
        <f>#REF!</f>
        <v>#REF!</v>
      </c>
      <c r="BV15" s="70" t="s">
        <v>494</v>
      </c>
    </row>
    <row r="16" spans="1:74" ht="162" customHeight="1" x14ac:dyDescent="0.25">
      <c r="A16" s="104"/>
      <c r="B16" s="81" t="s">
        <v>138</v>
      </c>
      <c r="C16" s="303" t="s">
        <v>1174</v>
      </c>
      <c r="D16" s="304"/>
      <c r="E16" s="304"/>
      <c r="F16" s="304"/>
      <c r="G16" s="304"/>
      <c r="H16" s="304"/>
      <c r="I16" s="304"/>
      <c r="J16" s="304"/>
      <c r="K16" s="304"/>
      <c r="L16" s="304"/>
      <c r="M16" s="305"/>
    </row>
    <row r="17" spans="1:74" x14ac:dyDescent="0.25">
      <c r="A17" s="92" t="s">
        <v>149</v>
      </c>
      <c r="B17" s="69" t="s">
        <v>819</v>
      </c>
      <c r="C17" s="306" t="s">
        <v>990</v>
      </c>
      <c r="D17" s="307"/>
      <c r="E17" s="69" t="s">
        <v>166</v>
      </c>
      <c r="F17" s="77">
        <v>5.33</v>
      </c>
      <c r="G17" s="218">
        <v>0</v>
      </c>
      <c r="H17" s="77">
        <f>F17*AM17</f>
        <v>0</v>
      </c>
      <c r="I17" s="77">
        <f>F17*AN17</f>
        <v>0</v>
      </c>
      <c r="J17" s="77">
        <f>F17*G17</f>
        <v>0</v>
      </c>
      <c r="K17" s="77">
        <v>0.33</v>
      </c>
      <c r="L17" s="77">
        <f>F17*K17</f>
        <v>1.7589000000000001</v>
      </c>
      <c r="M17" s="103" t="s">
        <v>35</v>
      </c>
      <c r="X17" s="77">
        <f>IF(AO17="5",BH17,0)</f>
        <v>0</v>
      </c>
      <c r="Z17" s="77">
        <f>IF(AO17="1",BF17,0)</f>
        <v>0</v>
      </c>
      <c r="AA17" s="77">
        <f>IF(AO17="1",BG17,0)</f>
        <v>0</v>
      </c>
      <c r="AB17" s="77">
        <f>IF(AO17="7",BF17,0)</f>
        <v>0</v>
      </c>
      <c r="AC17" s="77">
        <f>IF(AO17="7",BG17,0)</f>
        <v>0</v>
      </c>
      <c r="AD17" s="77">
        <f>IF(AO17="2",BF17,0)</f>
        <v>0</v>
      </c>
      <c r="AE17" s="77">
        <f>IF(AO17="2",BG17,0)</f>
        <v>0</v>
      </c>
      <c r="AF17" s="77">
        <f>IF(AO17="0",BH17,0)</f>
        <v>0</v>
      </c>
      <c r="AG17" s="71" t="s">
        <v>129</v>
      </c>
      <c r="AH17" s="77">
        <f>IF(AL17=0,J17,0)</f>
        <v>0</v>
      </c>
      <c r="AI17" s="77">
        <f>IF(AL17=15,J17,0)</f>
        <v>0</v>
      </c>
      <c r="AJ17" s="77">
        <f>IF(AL17=21,J17,0)</f>
        <v>0</v>
      </c>
      <c r="AL17" s="77">
        <v>15</v>
      </c>
      <c r="AM17" s="77">
        <f>G17*0</f>
        <v>0</v>
      </c>
      <c r="AN17" s="77">
        <f>G17*(1-0)</f>
        <v>0</v>
      </c>
      <c r="AO17" s="79" t="s">
        <v>132</v>
      </c>
      <c r="AT17" s="77">
        <f>AU17+AV17</f>
        <v>0</v>
      </c>
      <c r="AU17" s="77">
        <f>F17*AM17</f>
        <v>0</v>
      </c>
      <c r="AV17" s="77">
        <f>F17*AN17</f>
        <v>0</v>
      </c>
      <c r="AW17" s="79" t="s">
        <v>146</v>
      </c>
      <c r="AX17" s="79" t="s">
        <v>147</v>
      </c>
      <c r="AY17" s="71" t="s">
        <v>137</v>
      </c>
      <c r="BA17" s="77">
        <f>AU17+AV17</f>
        <v>0</v>
      </c>
      <c r="BB17" s="77">
        <f>G17/(100-BC17)*100</f>
        <v>0</v>
      </c>
      <c r="BC17" s="77">
        <v>0</v>
      </c>
      <c r="BD17" s="77">
        <f>L17</f>
        <v>1.7589000000000001</v>
      </c>
      <c r="BF17" s="77">
        <f>F17*AM17</f>
        <v>0</v>
      </c>
      <c r="BG17" s="77">
        <f>F17*AN17</f>
        <v>0</v>
      </c>
      <c r="BH17" s="77">
        <f>F17*G17</f>
        <v>0</v>
      </c>
      <c r="BI17" s="77"/>
      <c r="BJ17" s="77">
        <v>11</v>
      </c>
      <c r="BU17" s="77" t="e">
        <f>#REF!</f>
        <v>#REF!</v>
      </c>
      <c r="BV17" s="70" t="s">
        <v>990</v>
      </c>
    </row>
    <row r="18" spans="1:74" ht="67.5" customHeight="1" x14ac:dyDescent="0.25">
      <c r="A18" s="104"/>
      <c r="B18" s="81" t="s">
        <v>138</v>
      </c>
      <c r="C18" s="303" t="s">
        <v>1175</v>
      </c>
      <c r="D18" s="304"/>
      <c r="E18" s="304"/>
      <c r="F18" s="304"/>
      <c r="G18" s="304"/>
      <c r="H18" s="304"/>
      <c r="I18" s="304"/>
      <c r="J18" s="304"/>
      <c r="K18" s="304"/>
      <c r="L18" s="304"/>
      <c r="M18" s="305"/>
    </row>
    <row r="19" spans="1:74" x14ac:dyDescent="0.25">
      <c r="A19" s="105" t="s">
        <v>129</v>
      </c>
      <c r="B19" s="74" t="s">
        <v>172</v>
      </c>
      <c r="C19" s="314" t="s">
        <v>173</v>
      </c>
      <c r="D19" s="315"/>
      <c r="E19" s="75" t="s">
        <v>87</v>
      </c>
      <c r="F19" s="75" t="s">
        <v>87</v>
      </c>
      <c r="G19" s="75" t="s">
        <v>87</v>
      </c>
      <c r="H19" s="67">
        <f>SUM(H20:H22)</f>
        <v>0</v>
      </c>
      <c r="I19" s="67">
        <f>SUM(I20:I22)</f>
        <v>0</v>
      </c>
      <c r="J19" s="67">
        <f>SUM(J20:J22)</f>
        <v>0</v>
      </c>
      <c r="K19" s="71" t="s">
        <v>129</v>
      </c>
      <c r="L19" s="67">
        <f>SUM(L20:L22)</f>
        <v>0</v>
      </c>
      <c r="M19" s="106" t="s">
        <v>129</v>
      </c>
      <c r="AG19" s="71" t="s">
        <v>129</v>
      </c>
      <c r="AQ19" s="67">
        <f>SUM(AH20:AH22)</f>
        <v>0</v>
      </c>
      <c r="AR19" s="67">
        <f>SUM(AI20:AI22)</f>
        <v>0</v>
      </c>
      <c r="AS19" s="67">
        <f>SUM(AJ20:AJ22)</f>
        <v>0</v>
      </c>
    </row>
    <row r="20" spans="1:74" x14ac:dyDescent="0.25">
      <c r="A20" s="92" t="s">
        <v>153</v>
      </c>
      <c r="B20" s="69" t="s">
        <v>732</v>
      </c>
      <c r="C20" s="306" t="s">
        <v>733</v>
      </c>
      <c r="D20" s="307"/>
      <c r="E20" s="69" t="s">
        <v>177</v>
      </c>
      <c r="F20" s="77">
        <v>0.61</v>
      </c>
      <c r="G20" s="218">
        <v>0</v>
      </c>
      <c r="H20" s="77">
        <f>F20*AM20</f>
        <v>0</v>
      </c>
      <c r="I20" s="77">
        <f>F20*AN20</f>
        <v>0</v>
      </c>
      <c r="J20" s="77">
        <f>F20*G20</f>
        <v>0</v>
      </c>
      <c r="K20" s="77">
        <v>0</v>
      </c>
      <c r="L20" s="77">
        <f>F20*K20</f>
        <v>0</v>
      </c>
      <c r="M20" s="103" t="s">
        <v>35</v>
      </c>
      <c r="X20" s="77">
        <f>IF(AO20="5",BH20,0)</f>
        <v>0</v>
      </c>
      <c r="Z20" s="77">
        <f>IF(AO20="1",BF20,0)</f>
        <v>0</v>
      </c>
      <c r="AA20" s="77">
        <f>IF(AO20="1",BG20,0)</f>
        <v>0</v>
      </c>
      <c r="AB20" s="77">
        <f>IF(AO20="7",BF20,0)</f>
        <v>0</v>
      </c>
      <c r="AC20" s="77">
        <f>IF(AO20="7",BG20,0)</f>
        <v>0</v>
      </c>
      <c r="AD20" s="77">
        <f>IF(AO20="2",BF20,0)</f>
        <v>0</v>
      </c>
      <c r="AE20" s="77">
        <f>IF(AO20="2",BG20,0)</f>
        <v>0</v>
      </c>
      <c r="AF20" s="77">
        <f>IF(AO20="0",BH20,0)</f>
        <v>0</v>
      </c>
      <c r="AG20" s="71" t="s">
        <v>129</v>
      </c>
      <c r="AH20" s="77">
        <f>IF(AL20=0,J20,0)</f>
        <v>0</v>
      </c>
      <c r="AI20" s="77">
        <f>IF(AL20=15,J20,0)</f>
        <v>0</v>
      </c>
      <c r="AJ20" s="77">
        <f>IF(AL20=21,J20,0)</f>
        <v>0</v>
      </c>
      <c r="AL20" s="77">
        <v>15</v>
      </c>
      <c r="AM20" s="77">
        <f>G20*0</f>
        <v>0</v>
      </c>
      <c r="AN20" s="77">
        <f>G20*(1-0)</f>
        <v>0</v>
      </c>
      <c r="AO20" s="79" t="s">
        <v>132</v>
      </c>
      <c r="AT20" s="77">
        <f>AU20+AV20</f>
        <v>0</v>
      </c>
      <c r="AU20" s="77">
        <f>F20*AM20</f>
        <v>0</v>
      </c>
      <c r="AV20" s="77">
        <f>F20*AN20</f>
        <v>0</v>
      </c>
      <c r="AW20" s="79" t="s">
        <v>178</v>
      </c>
      <c r="AX20" s="79" t="s">
        <v>147</v>
      </c>
      <c r="AY20" s="71" t="s">
        <v>137</v>
      </c>
      <c r="BA20" s="77">
        <f>AU20+AV20</f>
        <v>0</v>
      </c>
      <c r="BB20" s="77">
        <f>G20/(100-BC20)*100</f>
        <v>0</v>
      </c>
      <c r="BC20" s="77">
        <v>0</v>
      </c>
      <c r="BD20" s="77">
        <f>L20</f>
        <v>0</v>
      </c>
      <c r="BF20" s="77">
        <f>F20*AM20</f>
        <v>0</v>
      </c>
      <c r="BG20" s="77">
        <f>F20*AN20</f>
        <v>0</v>
      </c>
      <c r="BH20" s="77">
        <f>F20*G20</f>
        <v>0</v>
      </c>
      <c r="BI20" s="77"/>
      <c r="BJ20" s="77">
        <v>12</v>
      </c>
      <c r="BU20" s="77" t="e">
        <f>#REF!</f>
        <v>#REF!</v>
      </c>
      <c r="BV20" s="70" t="s">
        <v>733</v>
      </c>
    </row>
    <row r="21" spans="1:74" ht="40.5" customHeight="1" x14ac:dyDescent="0.25">
      <c r="A21" s="104"/>
      <c r="B21" s="81" t="s">
        <v>138</v>
      </c>
      <c r="C21" s="303" t="s">
        <v>1176</v>
      </c>
      <c r="D21" s="304"/>
      <c r="E21" s="304"/>
      <c r="F21" s="304"/>
      <c r="G21" s="304"/>
      <c r="H21" s="304"/>
      <c r="I21" s="304"/>
      <c r="J21" s="304"/>
      <c r="K21" s="304"/>
      <c r="L21" s="304"/>
      <c r="M21" s="305"/>
    </row>
    <row r="22" spans="1:74" x14ac:dyDescent="0.25">
      <c r="A22" s="92" t="s">
        <v>158</v>
      </c>
      <c r="B22" s="69" t="s">
        <v>175</v>
      </c>
      <c r="C22" s="306" t="s">
        <v>176</v>
      </c>
      <c r="D22" s="307"/>
      <c r="E22" s="69" t="s">
        <v>177</v>
      </c>
      <c r="F22" s="77">
        <v>0.75</v>
      </c>
      <c r="G22" s="218">
        <v>0</v>
      </c>
      <c r="H22" s="77">
        <f>F22*AM22</f>
        <v>0</v>
      </c>
      <c r="I22" s="77">
        <f>F22*AN22</f>
        <v>0</v>
      </c>
      <c r="J22" s="77">
        <f>F22*G22</f>
        <v>0</v>
      </c>
      <c r="K22" s="77">
        <v>0</v>
      </c>
      <c r="L22" s="77">
        <f>F22*K22</f>
        <v>0</v>
      </c>
      <c r="M22" s="103" t="s">
        <v>35</v>
      </c>
      <c r="X22" s="77">
        <f>IF(AO22="5",BH22,0)</f>
        <v>0</v>
      </c>
      <c r="Z22" s="77">
        <f>IF(AO22="1",BF22,0)</f>
        <v>0</v>
      </c>
      <c r="AA22" s="77">
        <f>IF(AO22="1",BG22,0)</f>
        <v>0</v>
      </c>
      <c r="AB22" s="77">
        <f>IF(AO22="7",BF22,0)</f>
        <v>0</v>
      </c>
      <c r="AC22" s="77">
        <f>IF(AO22="7",BG22,0)</f>
        <v>0</v>
      </c>
      <c r="AD22" s="77">
        <f>IF(AO22="2",BF22,0)</f>
        <v>0</v>
      </c>
      <c r="AE22" s="77">
        <f>IF(AO22="2",BG22,0)</f>
        <v>0</v>
      </c>
      <c r="AF22" s="77">
        <f>IF(AO22="0",BH22,0)</f>
        <v>0</v>
      </c>
      <c r="AG22" s="71" t="s">
        <v>129</v>
      </c>
      <c r="AH22" s="77">
        <f>IF(AL22=0,J22,0)</f>
        <v>0</v>
      </c>
      <c r="AI22" s="77">
        <f>IF(AL22=15,J22,0)</f>
        <v>0</v>
      </c>
      <c r="AJ22" s="77">
        <f>IF(AL22=21,J22,0)</f>
        <v>0</v>
      </c>
      <c r="AL22" s="77">
        <v>15</v>
      </c>
      <c r="AM22" s="77">
        <f>G22*0</f>
        <v>0</v>
      </c>
      <c r="AN22" s="77">
        <f>G22*(1-0)</f>
        <v>0</v>
      </c>
      <c r="AO22" s="79" t="s">
        <v>132</v>
      </c>
      <c r="AT22" s="77">
        <f>AU22+AV22</f>
        <v>0</v>
      </c>
      <c r="AU22" s="77">
        <f>F22*AM22</f>
        <v>0</v>
      </c>
      <c r="AV22" s="77">
        <f>F22*AN22</f>
        <v>0</v>
      </c>
      <c r="AW22" s="79" t="s">
        <v>178</v>
      </c>
      <c r="AX22" s="79" t="s">
        <v>147</v>
      </c>
      <c r="AY22" s="71" t="s">
        <v>137</v>
      </c>
      <c r="BA22" s="77">
        <f>AU22+AV22</f>
        <v>0</v>
      </c>
      <c r="BB22" s="77">
        <f>G22/(100-BC22)*100</f>
        <v>0</v>
      </c>
      <c r="BC22" s="77">
        <v>0</v>
      </c>
      <c r="BD22" s="77">
        <f>L22</f>
        <v>0</v>
      </c>
      <c r="BF22" s="77">
        <f>F22*AM22</f>
        <v>0</v>
      </c>
      <c r="BG22" s="77">
        <f>F22*AN22</f>
        <v>0</v>
      </c>
      <c r="BH22" s="77">
        <f>F22*G22</f>
        <v>0</v>
      </c>
      <c r="BI22" s="77"/>
      <c r="BJ22" s="77">
        <v>12</v>
      </c>
      <c r="BU22" s="77" t="e">
        <f>#REF!</f>
        <v>#REF!</v>
      </c>
      <c r="BV22" s="70" t="s">
        <v>176</v>
      </c>
    </row>
    <row r="23" spans="1:74" ht="40.5" customHeight="1" x14ac:dyDescent="0.25">
      <c r="A23" s="104"/>
      <c r="B23" s="81" t="s">
        <v>138</v>
      </c>
      <c r="C23" s="303" t="s">
        <v>1177</v>
      </c>
      <c r="D23" s="304"/>
      <c r="E23" s="304"/>
      <c r="F23" s="304"/>
      <c r="G23" s="304"/>
      <c r="H23" s="304"/>
      <c r="I23" s="304"/>
      <c r="J23" s="304"/>
      <c r="K23" s="304"/>
      <c r="L23" s="304"/>
      <c r="M23" s="305"/>
    </row>
    <row r="24" spans="1:74" x14ac:dyDescent="0.25">
      <c r="A24" s="105" t="s">
        <v>129</v>
      </c>
      <c r="B24" s="74" t="s">
        <v>180</v>
      </c>
      <c r="C24" s="314" t="s">
        <v>181</v>
      </c>
      <c r="D24" s="315"/>
      <c r="E24" s="75" t="s">
        <v>87</v>
      </c>
      <c r="F24" s="75" t="s">
        <v>87</v>
      </c>
      <c r="G24" s="75" t="s">
        <v>87</v>
      </c>
      <c r="H24" s="67">
        <f>SUM(H25:H31)</f>
        <v>0</v>
      </c>
      <c r="I24" s="67">
        <f>SUM(I25:I31)</f>
        <v>0</v>
      </c>
      <c r="J24" s="67">
        <f>SUM(J25:J31)</f>
        <v>0</v>
      </c>
      <c r="K24" s="71" t="s">
        <v>129</v>
      </c>
      <c r="L24" s="67">
        <f>SUM(L25:L31)</f>
        <v>0</v>
      </c>
      <c r="M24" s="106" t="s">
        <v>129</v>
      </c>
      <c r="AG24" s="71" t="s">
        <v>129</v>
      </c>
      <c r="AQ24" s="67">
        <f>SUM(AH25:AH31)</f>
        <v>0</v>
      </c>
      <c r="AR24" s="67">
        <f>SUM(AI25:AI31)</f>
        <v>0</v>
      </c>
      <c r="AS24" s="67">
        <f>SUM(AJ25:AJ31)</f>
        <v>0</v>
      </c>
    </row>
    <row r="25" spans="1:74" x14ac:dyDescent="0.25">
      <c r="A25" s="92" t="s">
        <v>163</v>
      </c>
      <c r="B25" s="69" t="s">
        <v>825</v>
      </c>
      <c r="C25" s="306" t="s">
        <v>907</v>
      </c>
      <c r="D25" s="307"/>
      <c r="E25" s="69" t="s">
        <v>177</v>
      </c>
      <c r="F25" s="77">
        <v>3.97</v>
      </c>
      <c r="G25" s="218">
        <v>0</v>
      </c>
      <c r="H25" s="77">
        <f>F25*AM25</f>
        <v>0</v>
      </c>
      <c r="I25" s="77">
        <f>F25*AN25</f>
        <v>0</v>
      </c>
      <c r="J25" s="77">
        <f>F25*G25</f>
        <v>0</v>
      </c>
      <c r="K25" s="77">
        <v>0</v>
      </c>
      <c r="L25" s="77">
        <f>F25*K25</f>
        <v>0</v>
      </c>
      <c r="M25" s="103" t="s">
        <v>35</v>
      </c>
      <c r="X25" s="77">
        <f>IF(AO25="5",BH25,0)</f>
        <v>0</v>
      </c>
      <c r="Z25" s="77">
        <f>IF(AO25="1",BF25,0)</f>
        <v>0</v>
      </c>
      <c r="AA25" s="77">
        <f>IF(AO25="1",BG25,0)</f>
        <v>0</v>
      </c>
      <c r="AB25" s="77">
        <f>IF(AO25="7",BF25,0)</f>
        <v>0</v>
      </c>
      <c r="AC25" s="77">
        <f>IF(AO25="7",BG25,0)</f>
        <v>0</v>
      </c>
      <c r="AD25" s="77">
        <f>IF(AO25="2",BF25,0)</f>
        <v>0</v>
      </c>
      <c r="AE25" s="77">
        <f>IF(AO25="2",BG25,0)</f>
        <v>0</v>
      </c>
      <c r="AF25" s="77">
        <f>IF(AO25="0",BH25,0)</f>
        <v>0</v>
      </c>
      <c r="AG25" s="71" t="s">
        <v>129</v>
      </c>
      <c r="AH25" s="77">
        <f>IF(AL25=0,J25,0)</f>
        <v>0</v>
      </c>
      <c r="AI25" s="77">
        <f>IF(AL25=15,J25,0)</f>
        <v>0</v>
      </c>
      <c r="AJ25" s="77">
        <f>IF(AL25=21,J25,0)</f>
        <v>0</v>
      </c>
      <c r="AL25" s="77">
        <v>15</v>
      </c>
      <c r="AM25" s="77">
        <f>G25*0</f>
        <v>0</v>
      </c>
      <c r="AN25" s="77">
        <f>G25*(1-0)</f>
        <v>0</v>
      </c>
      <c r="AO25" s="79" t="s">
        <v>132</v>
      </c>
      <c r="AT25" s="77">
        <f>AU25+AV25</f>
        <v>0</v>
      </c>
      <c r="AU25" s="77">
        <f>F25*AM25</f>
        <v>0</v>
      </c>
      <c r="AV25" s="77">
        <f>F25*AN25</f>
        <v>0</v>
      </c>
      <c r="AW25" s="79" t="s">
        <v>185</v>
      </c>
      <c r="AX25" s="79" t="s">
        <v>147</v>
      </c>
      <c r="AY25" s="71" t="s">
        <v>137</v>
      </c>
      <c r="BA25" s="77">
        <f>AU25+AV25</f>
        <v>0</v>
      </c>
      <c r="BB25" s="77">
        <f>G25/(100-BC25)*100</f>
        <v>0</v>
      </c>
      <c r="BC25" s="77">
        <v>0</v>
      </c>
      <c r="BD25" s="77">
        <f>L25</f>
        <v>0</v>
      </c>
      <c r="BF25" s="77">
        <f>F25*AM25</f>
        <v>0</v>
      </c>
      <c r="BG25" s="77">
        <f>F25*AN25</f>
        <v>0</v>
      </c>
      <c r="BH25" s="77">
        <f>F25*G25</f>
        <v>0</v>
      </c>
      <c r="BI25" s="77"/>
      <c r="BJ25" s="77">
        <v>13</v>
      </c>
      <c r="BU25" s="77" t="e">
        <f>#REF!</f>
        <v>#REF!</v>
      </c>
      <c r="BV25" s="70" t="s">
        <v>907</v>
      </c>
    </row>
    <row r="26" spans="1:74" ht="108" customHeight="1" thickBot="1" x14ac:dyDescent="0.3">
      <c r="A26" s="107"/>
      <c r="B26" s="108" t="s">
        <v>138</v>
      </c>
      <c r="C26" s="308" t="s">
        <v>1178</v>
      </c>
      <c r="D26" s="309"/>
      <c r="E26" s="309"/>
      <c r="F26" s="309"/>
      <c r="G26" s="309"/>
      <c r="H26" s="309"/>
      <c r="I26" s="309"/>
      <c r="J26" s="309"/>
      <c r="K26" s="309"/>
      <c r="L26" s="309"/>
      <c r="M26" s="310"/>
    </row>
    <row r="27" spans="1:74" x14ac:dyDescent="0.25">
      <c r="A27" s="122" t="s">
        <v>168</v>
      </c>
      <c r="B27" s="109" t="s">
        <v>188</v>
      </c>
      <c r="C27" s="312" t="s">
        <v>909</v>
      </c>
      <c r="D27" s="313"/>
      <c r="E27" s="109" t="s">
        <v>177</v>
      </c>
      <c r="F27" s="123">
        <v>1.99</v>
      </c>
      <c r="G27" s="219">
        <v>0</v>
      </c>
      <c r="H27" s="123">
        <f>F27*AM27</f>
        <v>0</v>
      </c>
      <c r="I27" s="123">
        <f>F27*AN27</f>
        <v>0</v>
      </c>
      <c r="J27" s="123">
        <f>F27*G27</f>
        <v>0</v>
      </c>
      <c r="K27" s="123">
        <v>0</v>
      </c>
      <c r="L27" s="123">
        <f>F27*K27</f>
        <v>0</v>
      </c>
      <c r="M27" s="124" t="s">
        <v>35</v>
      </c>
      <c r="X27" s="77">
        <f>IF(AO27="5",BH27,0)</f>
        <v>0</v>
      </c>
      <c r="Z27" s="77">
        <f>IF(AO27="1",BF27,0)</f>
        <v>0</v>
      </c>
      <c r="AA27" s="77">
        <f>IF(AO27="1",BG27,0)</f>
        <v>0</v>
      </c>
      <c r="AB27" s="77">
        <f>IF(AO27="7",BF27,0)</f>
        <v>0</v>
      </c>
      <c r="AC27" s="77">
        <f>IF(AO27="7",BG27,0)</f>
        <v>0</v>
      </c>
      <c r="AD27" s="77">
        <f>IF(AO27="2",BF27,0)</f>
        <v>0</v>
      </c>
      <c r="AE27" s="77">
        <f>IF(AO27="2",BG27,0)</f>
        <v>0</v>
      </c>
      <c r="AF27" s="77">
        <f>IF(AO27="0",BH27,0)</f>
        <v>0</v>
      </c>
      <c r="AG27" s="71" t="s">
        <v>129</v>
      </c>
      <c r="AH27" s="77">
        <f>IF(AL27=0,J27,0)</f>
        <v>0</v>
      </c>
      <c r="AI27" s="77">
        <f>IF(AL27=15,J27,0)</f>
        <v>0</v>
      </c>
      <c r="AJ27" s="77">
        <f>IF(AL27=21,J27,0)</f>
        <v>0</v>
      </c>
      <c r="AL27" s="77">
        <v>15</v>
      </c>
      <c r="AM27" s="77">
        <f>G27*0</f>
        <v>0</v>
      </c>
      <c r="AN27" s="77">
        <f>G27*(1-0)</f>
        <v>0</v>
      </c>
      <c r="AO27" s="79" t="s">
        <v>132</v>
      </c>
      <c r="AT27" s="77">
        <f>AU27+AV27</f>
        <v>0</v>
      </c>
      <c r="AU27" s="77">
        <f>F27*AM27</f>
        <v>0</v>
      </c>
      <c r="AV27" s="77">
        <f>F27*AN27</f>
        <v>0</v>
      </c>
      <c r="AW27" s="79" t="s">
        <v>185</v>
      </c>
      <c r="AX27" s="79" t="s">
        <v>147</v>
      </c>
      <c r="AY27" s="71" t="s">
        <v>137</v>
      </c>
      <c r="BA27" s="77">
        <f>AU27+AV27</f>
        <v>0</v>
      </c>
      <c r="BB27" s="77">
        <f>G27/(100-BC27)*100</f>
        <v>0</v>
      </c>
      <c r="BC27" s="77">
        <v>0</v>
      </c>
      <c r="BD27" s="77">
        <f>L27</f>
        <v>0</v>
      </c>
      <c r="BF27" s="77">
        <f>F27*AM27</f>
        <v>0</v>
      </c>
      <c r="BG27" s="77">
        <f>F27*AN27</f>
        <v>0</v>
      </c>
      <c r="BH27" s="77">
        <f>F27*G27</f>
        <v>0</v>
      </c>
      <c r="BI27" s="77"/>
      <c r="BJ27" s="77">
        <v>13</v>
      </c>
      <c r="BU27" s="77" t="e">
        <f>#REF!</f>
        <v>#REF!</v>
      </c>
      <c r="BV27" s="70" t="s">
        <v>909</v>
      </c>
    </row>
    <row r="28" spans="1:74" ht="40.5" customHeight="1" x14ac:dyDescent="0.25">
      <c r="A28" s="104"/>
      <c r="B28" s="81" t="s">
        <v>138</v>
      </c>
      <c r="C28" s="303" t="s">
        <v>1179</v>
      </c>
      <c r="D28" s="304"/>
      <c r="E28" s="304"/>
      <c r="F28" s="304"/>
      <c r="G28" s="304"/>
      <c r="H28" s="304"/>
      <c r="I28" s="304"/>
      <c r="J28" s="304"/>
      <c r="K28" s="304"/>
      <c r="L28" s="304"/>
      <c r="M28" s="305"/>
    </row>
    <row r="29" spans="1:74" x14ac:dyDescent="0.25">
      <c r="A29" s="92" t="s">
        <v>174</v>
      </c>
      <c r="B29" s="69" t="s">
        <v>829</v>
      </c>
      <c r="C29" s="306" t="s">
        <v>830</v>
      </c>
      <c r="D29" s="307"/>
      <c r="E29" s="69" t="s">
        <v>177</v>
      </c>
      <c r="F29" s="77">
        <v>3.97</v>
      </c>
      <c r="G29" s="218">
        <v>0</v>
      </c>
      <c r="H29" s="77">
        <f>F29*AM29</f>
        <v>0</v>
      </c>
      <c r="I29" s="77">
        <f>F29*AN29</f>
        <v>0</v>
      </c>
      <c r="J29" s="77">
        <f>F29*G29</f>
        <v>0</v>
      </c>
      <c r="K29" s="77">
        <v>0</v>
      </c>
      <c r="L29" s="77">
        <f>F29*K29</f>
        <v>0</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185</v>
      </c>
      <c r="AX29" s="79" t="s">
        <v>147</v>
      </c>
      <c r="AY29" s="71" t="s">
        <v>137</v>
      </c>
      <c r="BA29" s="77">
        <f>AU29+AV29</f>
        <v>0</v>
      </c>
      <c r="BB29" s="77">
        <f>G29/(100-BC29)*100</f>
        <v>0</v>
      </c>
      <c r="BC29" s="77">
        <v>0</v>
      </c>
      <c r="BD29" s="77">
        <f>L29</f>
        <v>0</v>
      </c>
      <c r="BF29" s="77">
        <f>F29*AM29</f>
        <v>0</v>
      </c>
      <c r="BG29" s="77">
        <f>F29*AN29</f>
        <v>0</v>
      </c>
      <c r="BH29" s="77">
        <f>F29*G29</f>
        <v>0</v>
      </c>
      <c r="BI29" s="77"/>
      <c r="BJ29" s="77">
        <v>13</v>
      </c>
      <c r="BU29" s="77" t="e">
        <f>#REF!</f>
        <v>#REF!</v>
      </c>
      <c r="BV29" s="70" t="s">
        <v>830</v>
      </c>
    </row>
    <row r="30" spans="1:74" ht="108" customHeight="1" x14ac:dyDescent="0.25">
      <c r="A30" s="104"/>
      <c r="B30" s="81" t="s">
        <v>138</v>
      </c>
      <c r="C30" s="303" t="s">
        <v>1180</v>
      </c>
      <c r="D30" s="304"/>
      <c r="E30" s="304"/>
      <c r="F30" s="304"/>
      <c r="G30" s="304"/>
      <c r="H30" s="304"/>
      <c r="I30" s="304"/>
      <c r="J30" s="304"/>
      <c r="K30" s="304"/>
      <c r="L30" s="304"/>
      <c r="M30" s="305"/>
    </row>
    <row r="31" spans="1:74" x14ac:dyDescent="0.25">
      <c r="A31" s="92" t="s">
        <v>182</v>
      </c>
      <c r="B31" s="69" t="s">
        <v>194</v>
      </c>
      <c r="C31" s="306" t="s">
        <v>912</v>
      </c>
      <c r="D31" s="307"/>
      <c r="E31" s="69" t="s">
        <v>177</v>
      </c>
      <c r="F31" s="77">
        <v>0.99</v>
      </c>
      <c r="G31" s="218">
        <v>0</v>
      </c>
      <c r="H31" s="77">
        <f>F31*AM31</f>
        <v>0</v>
      </c>
      <c r="I31" s="77">
        <f>F31*AN31</f>
        <v>0</v>
      </c>
      <c r="J31" s="77">
        <f>F31*G31</f>
        <v>0</v>
      </c>
      <c r="K31" s="77">
        <v>0</v>
      </c>
      <c r="L31" s="77">
        <f>F31*K31</f>
        <v>0</v>
      </c>
      <c r="M31" s="103" t="s">
        <v>35</v>
      </c>
      <c r="X31" s="77">
        <f>IF(AO31="5",BH31,0)</f>
        <v>0</v>
      </c>
      <c r="Z31" s="77">
        <f>IF(AO31="1",BF31,0)</f>
        <v>0</v>
      </c>
      <c r="AA31" s="77">
        <f>IF(AO31="1",BG31,0)</f>
        <v>0</v>
      </c>
      <c r="AB31" s="77">
        <f>IF(AO31="7",BF31,0)</f>
        <v>0</v>
      </c>
      <c r="AC31" s="77">
        <f>IF(AO31="7",BG31,0)</f>
        <v>0</v>
      </c>
      <c r="AD31" s="77">
        <f>IF(AO31="2",BF31,0)</f>
        <v>0</v>
      </c>
      <c r="AE31" s="77">
        <f>IF(AO31="2",BG31,0)</f>
        <v>0</v>
      </c>
      <c r="AF31" s="77">
        <f>IF(AO31="0",BH31,0)</f>
        <v>0</v>
      </c>
      <c r="AG31" s="71" t="s">
        <v>129</v>
      </c>
      <c r="AH31" s="77">
        <f>IF(AL31=0,J31,0)</f>
        <v>0</v>
      </c>
      <c r="AI31" s="77">
        <f>IF(AL31=15,J31,0)</f>
        <v>0</v>
      </c>
      <c r="AJ31" s="77">
        <f>IF(AL31=21,J31,0)</f>
        <v>0</v>
      </c>
      <c r="AL31" s="77">
        <v>15</v>
      </c>
      <c r="AM31" s="77">
        <f>G31*0</f>
        <v>0</v>
      </c>
      <c r="AN31" s="77">
        <f>G31*(1-0)</f>
        <v>0</v>
      </c>
      <c r="AO31" s="79" t="s">
        <v>132</v>
      </c>
      <c r="AT31" s="77">
        <f>AU31+AV31</f>
        <v>0</v>
      </c>
      <c r="AU31" s="77">
        <f>F31*AM31</f>
        <v>0</v>
      </c>
      <c r="AV31" s="77">
        <f>F31*AN31</f>
        <v>0</v>
      </c>
      <c r="AW31" s="79" t="s">
        <v>185</v>
      </c>
      <c r="AX31" s="79" t="s">
        <v>147</v>
      </c>
      <c r="AY31" s="71" t="s">
        <v>137</v>
      </c>
      <c r="BA31" s="77">
        <f>AU31+AV31</f>
        <v>0</v>
      </c>
      <c r="BB31" s="77">
        <f>G31/(100-BC31)*100</f>
        <v>0</v>
      </c>
      <c r="BC31" s="77">
        <v>0</v>
      </c>
      <c r="BD31" s="77">
        <f>L31</f>
        <v>0</v>
      </c>
      <c r="BF31" s="77">
        <f>F31*AM31</f>
        <v>0</v>
      </c>
      <c r="BG31" s="77">
        <f>F31*AN31</f>
        <v>0</v>
      </c>
      <c r="BH31" s="77">
        <f>F31*G31</f>
        <v>0</v>
      </c>
      <c r="BI31" s="77"/>
      <c r="BJ31" s="77">
        <v>13</v>
      </c>
      <c r="BU31" s="77" t="e">
        <f>#REF!</f>
        <v>#REF!</v>
      </c>
      <c r="BV31" s="70" t="s">
        <v>912</v>
      </c>
    </row>
    <row r="32" spans="1:74" ht="40.5" customHeight="1" x14ac:dyDescent="0.25">
      <c r="A32" s="104"/>
      <c r="B32" s="81" t="s">
        <v>138</v>
      </c>
      <c r="C32" s="303" t="s">
        <v>1181</v>
      </c>
      <c r="D32" s="304"/>
      <c r="E32" s="304"/>
      <c r="F32" s="304"/>
      <c r="G32" s="304"/>
      <c r="H32" s="304"/>
      <c r="I32" s="304"/>
      <c r="J32" s="304"/>
      <c r="K32" s="304"/>
      <c r="L32" s="304"/>
      <c r="M32" s="305"/>
    </row>
    <row r="33" spans="1:74" x14ac:dyDescent="0.25">
      <c r="A33" s="105" t="s">
        <v>129</v>
      </c>
      <c r="B33" s="74" t="s">
        <v>204</v>
      </c>
      <c r="C33" s="314" t="s">
        <v>208</v>
      </c>
      <c r="D33" s="315"/>
      <c r="E33" s="75" t="s">
        <v>87</v>
      </c>
      <c r="F33" s="75" t="s">
        <v>87</v>
      </c>
      <c r="G33" s="75" t="s">
        <v>87</v>
      </c>
      <c r="H33" s="67">
        <f>SUM(H34:H36)</f>
        <v>0</v>
      </c>
      <c r="I33" s="67">
        <f>SUM(I34:I36)</f>
        <v>0</v>
      </c>
      <c r="J33" s="67">
        <f>SUM(J34:J36)</f>
        <v>0</v>
      </c>
      <c r="K33" s="71" t="s">
        <v>129</v>
      </c>
      <c r="L33" s="67">
        <f>SUM(L34:L36)</f>
        <v>9.0299999999999998E-3</v>
      </c>
      <c r="M33" s="106" t="s">
        <v>129</v>
      </c>
      <c r="AG33" s="71" t="s">
        <v>129</v>
      </c>
      <c r="AQ33" s="67">
        <f>SUM(AH34:AH36)</f>
        <v>0</v>
      </c>
      <c r="AR33" s="67">
        <f>SUM(AI34:AI36)</f>
        <v>0</v>
      </c>
      <c r="AS33" s="67">
        <f>SUM(AJ34:AJ36)</f>
        <v>0</v>
      </c>
    </row>
    <row r="34" spans="1:74" x14ac:dyDescent="0.25">
      <c r="A34" s="92" t="s">
        <v>187</v>
      </c>
      <c r="B34" s="69" t="s">
        <v>210</v>
      </c>
      <c r="C34" s="306" t="s">
        <v>211</v>
      </c>
      <c r="D34" s="307"/>
      <c r="E34" s="69" t="s">
        <v>166</v>
      </c>
      <c r="F34" s="77">
        <v>10.5</v>
      </c>
      <c r="G34" s="218">
        <v>0</v>
      </c>
      <c r="H34" s="77">
        <f>F34*AM34</f>
        <v>0</v>
      </c>
      <c r="I34" s="77">
        <f>F34*AN34</f>
        <v>0</v>
      </c>
      <c r="J34" s="77">
        <f>F34*G34</f>
        <v>0</v>
      </c>
      <c r="K34" s="77">
        <v>8.5999999999999998E-4</v>
      </c>
      <c r="L34" s="77">
        <f>F34*K34</f>
        <v>9.0299999999999998E-3</v>
      </c>
      <c r="M34" s="103" t="s">
        <v>35</v>
      </c>
      <c r="X34" s="77">
        <f>IF(AO34="5",BH34,0)</f>
        <v>0</v>
      </c>
      <c r="Z34" s="77">
        <f>IF(AO34="1",BF34,0)</f>
        <v>0</v>
      </c>
      <c r="AA34" s="77">
        <f>IF(AO34="1",BG34,0)</f>
        <v>0</v>
      </c>
      <c r="AB34" s="77">
        <f>IF(AO34="7",BF34,0)</f>
        <v>0</v>
      </c>
      <c r="AC34" s="77">
        <f>IF(AO34="7",BG34,0)</f>
        <v>0</v>
      </c>
      <c r="AD34" s="77">
        <f>IF(AO34="2",BF34,0)</f>
        <v>0</v>
      </c>
      <c r="AE34" s="77">
        <f>IF(AO34="2",BG34,0)</f>
        <v>0</v>
      </c>
      <c r="AF34" s="77">
        <f>IF(AO34="0",BH34,0)</f>
        <v>0</v>
      </c>
      <c r="AG34" s="71" t="s">
        <v>129</v>
      </c>
      <c r="AH34" s="77">
        <f>IF(AL34=0,J34,0)</f>
        <v>0</v>
      </c>
      <c r="AI34" s="77">
        <f>IF(AL34=15,J34,0)</f>
        <v>0</v>
      </c>
      <c r="AJ34" s="77">
        <f>IF(AL34=21,J34,0)</f>
        <v>0</v>
      </c>
      <c r="AL34" s="77">
        <v>15</v>
      </c>
      <c r="AM34" s="77">
        <f>G34*0.088675302</f>
        <v>0</v>
      </c>
      <c r="AN34" s="77">
        <f>G34*(1-0.088675302)</f>
        <v>0</v>
      </c>
      <c r="AO34" s="79" t="s">
        <v>132</v>
      </c>
      <c r="AT34" s="77">
        <f>AU34+AV34</f>
        <v>0</v>
      </c>
      <c r="AU34" s="77">
        <f>F34*AM34</f>
        <v>0</v>
      </c>
      <c r="AV34" s="77">
        <f>F34*AN34</f>
        <v>0</v>
      </c>
      <c r="AW34" s="79" t="s">
        <v>212</v>
      </c>
      <c r="AX34" s="79" t="s">
        <v>147</v>
      </c>
      <c r="AY34" s="71" t="s">
        <v>137</v>
      </c>
      <c r="BA34" s="77">
        <f>AU34+AV34</f>
        <v>0</v>
      </c>
      <c r="BB34" s="77">
        <f>G34/(100-BC34)*100</f>
        <v>0</v>
      </c>
      <c r="BC34" s="77">
        <v>0</v>
      </c>
      <c r="BD34" s="77">
        <f>L34</f>
        <v>9.0299999999999998E-3</v>
      </c>
      <c r="BF34" s="77">
        <f>F34*AM34</f>
        <v>0</v>
      </c>
      <c r="BG34" s="77">
        <f>F34*AN34</f>
        <v>0</v>
      </c>
      <c r="BH34" s="77">
        <f>F34*G34</f>
        <v>0</v>
      </c>
      <c r="BI34" s="77"/>
      <c r="BJ34" s="77">
        <v>15</v>
      </c>
      <c r="BU34" s="77" t="e">
        <f>#REF!</f>
        <v>#REF!</v>
      </c>
      <c r="BV34" s="70" t="s">
        <v>211</v>
      </c>
    </row>
    <row r="35" spans="1:74" ht="40.5" customHeight="1" x14ac:dyDescent="0.25">
      <c r="A35" s="104"/>
      <c r="B35" s="81" t="s">
        <v>138</v>
      </c>
      <c r="C35" s="303" t="s">
        <v>1182</v>
      </c>
      <c r="D35" s="304"/>
      <c r="E35" s="304"/>
      <c r="F35" s="304"/>
      <c r="G35" s="304"/>
      <c r="H35" s="304"/>
      <c r="I35" s="304"/>
      <c r="J35" s="304"/>
      <c r="K35" s="304"/>
      <c r="L35" s="304"/>
      <c r="M35" s="305"/>
    </row>
    <row r="36" spans="1:74" x14ac:dyDescent="0.25">
      <c r="A36" s="92" t="s">
        <v>140</v>
      </c>
      <c r="B36" s="69" t="s">
        <v>215</v>
      </c>
      <c r="C36" s="306" t="s">
        <v>216</v>
      </c>
      <c r="D36" s="307"/>
      <c r="E36" s="69" t="s">
        <v>166</v>
      </c>
      <c r="F36" s="77">
        <v>10.5</v>
      </c>
      <c r="G36" s="218">
        <v>0</v>
      </c>
      <c r="H36" s="77">
        <f>F36*AM36</f>
        <v>0</v>
      </c>
      <c r="I36" s="77">
        <f>F36*AN36</f>
        <v>0</v>
      </c>
      <c r="J36" s="77">
        <f>F36*G36</f>
        <v>0</v>
      </c>
      <c r="K36" s="77">
        <v>0</v>
      </c>
      <c r="L36" s="77">
        <f>F36*K36</f>
        <v>0</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f>
        <v>0</v>
      </c>
      <c r="AN36" s="77">
        <f>G36*(1-0)</f>
        <v>0</v>
      </c>
      <c r="AO36" s="79" t="s">
        <v>132</v>
      </c>
      <c r="AT36" s="77">
        <f>AU36+AV36</f>
        <v>0</v>
      </c>
      <c r="AU36" s="77">
        <f>F36*AM36</f>
        <v>0</v>
      </c>
      <c r="AV36" s="77">
        <f>F36*AN36</f>
        <v>0</v>
      </c>
      <c r="AW36" s="79" t="s">
        <v>212</v>
      </c>
      <c r="AX36" s="79" t="s">
        <v>147</v>
      </c>
      <c r="AY36" s="71" t="s">
        <v>137</v>
      </c>
      <c r="BA36" s="77">
        <f>AU36+AV36</f>
        <v>0</v>
      </c>
      <c r="BB36" s="77">
        <f>G36/(100-BC36)*100</f>
        <v>0</v>
      </c>
      <c r="BC36" s="77">
        <v>0</v>
      </c>
      <c r="BD36" s="77">
        <f>L36</f>
        <v>0</v>
      </c>
      <c r="BF36" s="77">
        <f>F36*AM36</f>
        <v>0</v>
      </c>
      <c r="BG36" s="77">
        <f>F36*AN36</f>
        <v>0</v>
      </c>
      <c r="BH36" s="77">
        <f>F36*G36</f>
        <v>0</v>
      </c>
      <c r="BI36" s="77"/>
      <c r="BJ36" s="77">
        <v>15</v>
      </c>
      <c r="BU36" s="77" t="e">
        <f>#REF!</f>
        <v>#REF!</v>
      </c>
      <c r="BV36" s="70" t="s">
        <v>216</v>
      </c>
    </row>
    <row r="37" spans="1:74" ht="40.5" customHeight="1" x14ac:dyDescent="0.25">
      <c r="A37" s="104"/>
      <c r="B37" s="81" t="s">
        <v>138</v>
      </c>
      <c r="C37" s="303" t="s">
        <v>1183</v>
      </c>
      <c r="D37" s="304"/>
      <c r="E37" s="304"/>
      <c r="F37" s="304"/>
      <c r="G37" s="304"/>
      <c r="H37" s="304"/>
      <c r="I37" s="304"/>
      <c r="J37" s="304"/>
      <c r="K37" s="304"/>
      <c r="L37" s="304"/>
      <c r="M37" s="305"/>
    </row>
    <row r="38" spans="1:74" x14ac:dyDescent="0.25">
      <c r="A38" s="105" t="s">
        <v>129</v>
      </c>
      <c r="B38" s="74" t="s">
        <v>209</v>
      </c>
      <c r="C38" s="314" t="s">
        <v>218</v>
      </c>
      <c r="D38" s="315"/>
      <c r="E38" s="75" t="s">
        <v>87</v>
      </c>
      <c r="F38" s="75" t="s">
        <v>87</v>
      </c>
      <c r="G38" s="75" t="s">
        <v>87</v>
      </c>
      <c r="H38" s="67">
        <f>SUM(H39:H49)</f>
        <v>0</v>
      </c>
      <c r="I38" s="67">
        <f>SUM(I39:I49)</f>
        <v>0</v>
      </c>
      <c r="J38" s="67">
        <f>SUM(J39:J49)</f>
        <v>0</v>
      </c>
      <c r="K38" s="71" t="s">
        <v>129</v>
      </c>
      <c r="L38" s="67">
        <f>SUM(L39:L49)</f>
        <v>0</v>
      </c>
      <c r="M38" s="106" t="s">
        <v>129</v>
      </c>
      <c r="AG38" s="71" t="s">
        <v>129</v>
      </c>
      <c r="AQ38" s="67">
        <f>SUM(AH39:AH49)</f>
        <v>0</v>
      </c>
      <c r="AR38" s="67">
        <f>SUM(AI39:AI49)</f>
        <v>0</v>
      </c>
      <c r="AS38" s="67">
        <f>SUM(AJ39:AJ49)</f>
        <v>0</v>
      </c>
    </row>
    <row r="39" spans="1:74" x14ac:dyDescent="0.25">
      <c r="A39" s="92" t="s">
        <v>172</v>
      </c>
      <c r="B39" s="69" t="s">
        <v>220</v>
      </c>
      <c r="C39" s="306" t="s">
        <v>221</v>
      </c>
      <c r="D39" s="307"/>
      <c r="E39" s="69" t="s">
        <v>177</v>
      </c>
      <c r="F39" s="77">
        <v>3.97</v>
      </c>
      <c r="G39" s="218">
        <v>0</v>
      </c>
      <c r="H39" s="77">
        <f>F39*AM39</f>
        <v>0</v>
      </c>
      <c r="I39" s="77">
        <f>F39*AN39</f>
        <v>0</v>
      </c>
      <c r="J39" s="77">
        <f>F39*G39</f>
        <v>0</v>
      </c>
      <c r="K39" s="77">
        <v>0</v>
      </c>
      <c r="L39" s="77">
        <f>F39*K39</f>
        <v>0</v>
      </c>
      <c r="M39" s="103" t="s">
        <v>35</v>
      </c>
      <c r="X39" s="77">
        <f>IF(AO39="5",BH39,0)</f>
        <v>0</v>
      </c>
      <c r="Z39" s="77">
        <f>IF(AO39="1",BF39,0)</f>
        <v>0</v>
      </c>
      <c r="AA39" s="77">
        <f>IF(AO39="1",BG39,0)</f>
        <v>0</v>
      </c>
      <c r="AB39" s="77">
        <f>IF(AO39="7",BF39,0)</f>
        <v>0</v>
      </c>
      <c r="AC39" s="77">
        <f>IF(AO39="7",BG39,0)</f>
        <v>0</v>
      </c>
      <c r="AD39" s="77">
        <f>IF(AO39="2",BF39,0)</f>
        <v>0</v>
      </c>
      <c r="AE39" s="77">
        <f>IF(AO39="2",BG39,0)</f>
        <v>0</v>
      </c>
      <c r="AF39" s="77">
        <f>IF(AO39="0",BH39,0)</f>
        <v>0</v>
      </c>
      <c r="AG39" s="71" t="s">
        <v>129</v>
      </c>
      <c r="AH39" s="77">
        <f>IF(AL39=0,J39,0)</f>
        <v>0</v>
      </c>
      <c r="AI39" s="77">
        <f>IF(AL39=15,J39,0)</f>
        <v>0</v>
      </c>
      <c r="AJ39" s="77">
        <f>IF(AL39=21,J39,0)</f>
        <v>0</v>
      </c>
      <c r="AL39" s="77">
        <v>15</v>
      </c>
      <c r="AM39" s="77">
        <f>G39*0</f>
        <v>0</v>
      </c>
      <c r="AN39" s="77">
        <f>G39*(1-0)</f>
        <v>0</v>
      </c>
      <c r="AO39" s="79" t="s">
        <v>132</v>
      </c>
      <c r="AT39" s="77">
        <f>AU39+AV39</f>
        <v>0</v>
      </c>
      <c r="AU39" s="77">
        <f>F39*AM39</f>
        <v>0</v>
      </c>
      <c r="AV39" s="77">
        <f>F39*AN39</f>
        <v>0</v>
      </c>
      <c r="AW39" s="79" t="s">
        <v>222</v>
      </c>
      <c r="AX39" s="79" t="s">
        <v>147</v>
      </c>
      <c r="AY39" s="71" t="s">
        <v>137</v>
      </c>
      <c r="BA39" s="77">
        <f>AU39+AV39</f>
        <v>0</v>
      </c>
      <c r="BB39" s="77">
        <f>G39/(100-BC39)*100</f>
        <v>0</v>
      </c>
      <c r="BC39" s="77">
        <v>0</v>
      </c>
      <c r="BD39" s="77">
        <f>L39</f>
        <v>0</v>
      </c>
      <c r="BF39" s="77">
        <f>F39*AM39</f>
        <v>0</v>
      </c>
      <c r="BG39" s="77">
        <f>F39*AN39</f>
        <v>0</v>
      </c>
      <c r="BH39" s="77">
        <f>F39*G39</f>
        <v>0</v>
      </c>
      <c r="BI39" s="77"/>
      <c r="BJ39" s="77">
        <v>16</v>
      </c>
      <c r="BU39" s="77" t="e">
        <f>#REF!</f>
        <v>#REF!</v>
      </c>
      <c r="BV39" s="70" t="s">
        <v>221</v>
      </c>
    </row>
    <row r="40" spans="1:74" ht="67.5" customHeight="1" x14ac:dyDescent="0.25">
      <c r="A40" s="104"/>
      <c r="B40" s="81" t="s">
        <v>138</v>
      </c>
      <c r="C40" s="303" t="s">
        <v>1184</v>
      </c>
      <c r="D40" s="304"/>
      <c r="E40" s="304"/>
      <c r="F40" s="304"/>
      <c r="G40" s="304"/>
      <c r="H40" s="304"/>
      <c r="I40" s="304"/>
      <c r="J40" s="304"/>
      <c r="K40" s="304"/>
      <c r="L40" s="304"/>
      <c r="M40" s="305"/>
    </row>
    <row r="41" spans="1:74" x14ac:dyDescent="0.25">
      <c r="A41" s="92" t="s">
        <v>180</v>
      </c>
      <c r="B41" s="69" t="s">
        <v>918</v>
      </c>
      <c r="C41" s="306" t="s">
        <v>230</v>
      </c>
      <c r="D41" s="307"/>
      <c r="E41" s="69" t="s">
        <v>177</v>
      </c>
      <c r="F41" s="77">
        <v>2.64</v>
      </c>
      <c r="G41" s="218">
        <v>0</v>
      </c>
      <c r="H41" s="77">
        <f>F41*AM41</f>
        <v>0</v>
      </c>
      <c r="I41" s="77">
        <f>F41*AN41</f>
        <v>0</v>
      </c>
      <c r="J41" s="77">
        <f>F41*G41</f>
        <v>0</v>
      </c>
      <c r="K41" s="77">
        <v>0</v>
      </c>
      <c r="L41" s="77">
        <f>F41*K41</f>
        <v>0</v>
      </c>
      <c r="M41" s="103" t="s">
        <v>35</v>
      </c>
      <c r="X41" s="77">
        <f>IF(AO41="5",BH41,0)</f>
        <v>0</v>
      </c>
      <c r="Z41" s="77">
        <f>IF(AO41="1",BF41,0)</f>
        <v>0</v>
      </c>
      <c r="AA41" s="77">
        <f>IF(AO41="1",BG41,0)</f>
        <v>0</v>
      </c>
      <c r="AB41" s="77">
        <f>IF(AO41="7",BF41,0)</f>
        <v>0</v>
      </c>
      <c r="AC41" s="77">
        <f>IF(AO41="7",BG41,0)</f>
        <v>0</v>
      </c>
      <c r="AD41" s="77">
        <f>IF(AO41="2",BF41,0)</f>
        <v>0</v>
      </c>
      <c r="AE41" s="77">
        <f>IF(AO41="2",BG41,0)</f>
        <v>0</v>
      </c>
      <c r="AF41" s="77">
        <f>IF(AO41="0",BH41,0)</f>
        <v>0</v>
      </c>
      <c r="AG41" s="71" t="s">
        <v>129</v>
      </c>
      <c r="AH41" s="77">
        <f>IF(AL41=0,J41,0)</f>
        <v>0</v>
      </c>
      <c r="AI41" s="77">
        <f>IF(AL41=15,J41,0)</f>
        <v>0</v>
      </c>
      <c r="AJ41" s="77">
        <f>IF(AL41=21,J41,0)</f>
        <v>0</v>
      </c>
      <c r="AL41" s="77">
        <v>15</v>
      </c>
      <c r="AM41" s="77">
        <f>G41*0</f>
        <v>0</v>
      </c>
      <c r="AN41" s="77">
        <f>G41*(1-0)</f>
        <v>0</v>
      </c>
      <c r="AO41" s="79" t="s">
        <v>132</v>
      </c>
      <c r="AT41" s="77">
        <f>AU41+AV41</f>
        <v>0</v>
      </c>
      <c r="AU41" s="77">
        <f>F41*AM41</f>
        <v>0</v>
      </c>
      <c r="AV41" s="77">
        <f>F41*AN41</f>
        <v>0</v>
      </c>
      <c r="AW41" s="79" t="s">
        <v>222</v>
      </c>
      <c r="AX41" s="79" t="s">
        <v>147</v>
      </c>
      <c r="AY41" s="71" t="s">
        <v>137</v>
      </c>
      <c r="BA41" s="77">
        <f>AU41+AV41</f>
        <v>0</v>
      </c>
      <c r="BB41" s="77">
        <f>G41/(100-BC41)*100</f>
        <v>0</v>
      </c>
      <c r="BC41" s="77">
        <v>0</v>
      </c>
      <c r="BD41" s="77">
        <f>L41</f>
        <v>0</v>
      </c>
      <c r="BF41" s="77">
        <f>F41*AM41</f>
        <v>0</v>
      </c>
      <c r="BG41" s="77">
        <f>F41*AN41</f>
        <v>0</v>
      </c>
      <c r="BH41" s="77">
        <f>F41*G41</f>
        <v>0</v>
      </c>
      <c r="BI41" s="77"/>
      <c r="BJ41" s="77">
        <v>16</v>
      </c>
      <c r="BU41" s="77" t="e">
        <f>#REF!</f>
        <v>#REF!</v>
      </c>
      <c r="BV41" s="70" t="s">
        <v>230</v>
      </c>
    </row>
    <row r="42" spans="1:74" ht="67.5" customHeight="1" x14ac:dyDescent="0.25">
      <c r="A42" s="104"/>
      <c r="B42" s="81" t="s">
        <v>138</v>
      </c>
      <c r="C42" s="303" t="s">
        <v>1185</v>
      </c>
      <c r="D42" s="304"/>
      <c r="E42" s="304"/>
      <c r="F42" s="304"/>
      <c r="G42" s="304"/>
      <c r="H42" s="304"/>
      <c r="I42" s="304"/>
      <c r="J42" s="304"/>
      <c r="K42" s="304"/>
      <c r="L42" s="304"/>
      <c r="M42" s="305"/>
    </row>
    <row r="43" spans="1:74" x14ac:dyDescent="0.25">
      <c r="A43" s="92" t="s">
        <v>200</v>
      </c>
      <c r="B43" s="69" t="s">
        <v>840</v>
      </c>
      <c r="C43" s="306" t="s">
        <v>969</v>
      </c>
      <c r="D43" s="307"/>
      <c r="E43" s="69" t="s">
        <v>177</v>
      </c>
      <c r="F43" s="77">
        <v>10.6</v>
      </c>
      <c r="G43" s="218">
        <v>0</v>
      </c>
      <c r="H43" s="77">
        <f>F43*AM43</f>
        <v>0</v>
      </c>
      <c r="I43" s="77">
        <f>F43*AN43</f>
        <v>0</v>
      </c>
      <c r="J43" s="77">
        <f>F43*G43</f>
        <v>0</v>
      </c>
      <c r="K43" s="77">
        <v>0</v>
      </c>
      <c r="L43" s="77">
        <f>F43*K43</f>
        <v>0</v>
      </c>
      <c r="M43" s="103" t="s">
        <v>35</v>
      </c>
      <c r="X43" s="77">
        <f>IF(AO43="5",BH43,0)</f>
        <v>0</v>
      </c>
      <c r="Z43" s="77">
        <f>IF(AO43="1",BF43,0)</f>
        <v>0</v>
      </c>
      <c r="AA43" s="77">
        <f>IF(AO43="1",BG43,0)</f>
        <v>0</v>
      </c>
      <c r="AB43" s="77">
        <f>IF(AO43="7",BF43,0)</f>
        <v>0</v>
      </c>
      <c r="AC43" s="77">
        <f>IF(AO43="7",BG43,0)</f>
        <v>0</v>
      </c>
      <c r="AD43" s="77">
        <f>IF(AO43="2",BF43,0)</f>
        <v>0</v>
      </c>
      <c r="AE43" s="77">
        <f>IF(AO43="2",BG43,0)</f>
        <v>0</v>
      </c>
      <c r="AF43" s="77">
        <f>IF(AO43="0",BH43,0)</f>
        <v>0</v>
      </c>
      <c r="AG43" s="71" t="s">
        <v>129</v>
      </c>
      <c r="AH43" s="77">
        <f>IF(AL43=0,J43,0)</f>
        <v>0</v>
      </c>
      <c r="AI43" s="77">
        <f>IF(AL43=15,J43,0)</f>
        <v>0</v>
      </c>
      <c r="AJ43" s="77">
        <f>IF(AL43=21,J43,0)</f>
        <v>0</v>
      </c>
      <c r="AL43" s="77">
        <v>15</v>
      </c>
      <c r="AM43" s="77">
        <f>G43*0</f>
        <v>0</v>
      </c>
      <c r="AN43" s="77">
        <f>G43*(1-0)</f>
        <v>0</v>
      </c>
      <c r="AO43" s="79" t="s">
        <v>132</v>
      </c>
      <c r="AT43" s="77">
        <f>AU43+AV43</f>
        <v>0</v>
      </c>
      <c r="AU43" s="77">
        <f>F43*AM43</f>
        <v>0</v>
      </c>
      <c r="AV43" s="77">
        <f>F43*AN43</f>
        <v>0</v>
      </c>
      <c r="AW43" s="79" t="s">
        <v>222</v>
      </c>
      <c r="AX43" s="79" t="s">
        <v>147</v>
      </c>
      <c r="AY43" s="71" t="s">
        <v>137</v>
      </c>
      <c r="BA43" s="77">
        <f>AU43+AV43</f>
        <v>0</v>
      </c>
      <c r="BB43" s="77">
        <f>G43/(100-BC43)*100</f>
        <v>0</v>
      </c>
      <c r="BC43" s="77">
        <v>0</v>
      </c>
      <c r="BD43" s="77">
        <f>L43</f>
        <v>0</v>
      </c>
      <c r="BF43" s="77">
        <f>F43*AM43</f>
        <v>0</v>
      </c>
      <c r="BG43" s="77">
        <f>F43*AN43</f>
        <v>0</v>
      </c>
      <c r="BH43" s="77">
        <f>F43*G43</f>
        <v>0</v>
      </c>
      <c r="BI43" s="77"/>
      <c r="BJ43" s="77">
        <v>16</v>
      </c>
      <c r="BU43" s="77" t="e">
        <f>#REF!</f>
        <v>#REF!</v>
      </c>
      <c r="BV43" s="70" t="s">
        <v>969</v>
      </c>
    </row>
    <row r="44" spans="1:74" ht="40.5" customHeight="1" x14ac:dyDescent="0.25">
      <c r="A44" s="104"/>
      <c r="B44" s="81" t="s">
        <v>138</v>
      </c>
      <c r="C44" s="303" t="s">
        <v>1186</v>
      </c>
      <c r="D44" s="304"/>
      <c r="E44" s="304"/>
      <c r="F44" s="304"/>
      <c r="G44" s="304"/>
      <c r="H44" s="304"/>
      <c r="I44" s="304"/>
      <c r="J44" s="304"/>
      <c r="K44" s="304"/>
      <c r="L44" s="304"/>
      <c r="M44" s="305"/>
    </row>
    <row r="45" spans="1:74" x14ac:dyDescent="0.25">
      <c r="A45" s="92" t="s">
        <v>204</v>
      </c>
      <c r="B45" s="69" t="s">
        <v>241</v>
      </c>
      <c r="C45" s="306" t="s">
        <v>242</v>
      </c>
      <c r="D45" s="307"/>
      <c r="E45" s="69" t="s">
        <v>177</v>
      </c>
      <c r="F45" s="77">
        <v>10.6</v>
      </c>
      <c r="G45" s="218">
        <v>0</v>
      </c>
      <c r="H45" s="77">
        <f>F45*AM45</f>
        <v>0</v>
      </c>
      <c r="I45" s="77">
        <f>F45*AN45</f>
        <v>0</v>
      </c>
      <c r="J45" s="77">
        <f>F45*G45</f>
        <v>0</v>
      </c>
      <c r="K45" s="77">
        <v>0</v>
      </c>
      <c r="L45" s="77">
        <f>F45*K45</f>
        <v>0</v>
      </c>
      <c r="M45" s="103" t="s">
        <v>35</v>
      </c>
      <c r="X45" s="77">
        <f>IF(AO45="5",BH45,0)</f>
        <v>0</v>
      </c>
      <c r="Z45" s="77">
        <f>IF(AO45="1",BF45,0)</f>
        <v>0</v>
      </c>
      <c r="AA45" s="77">
        <f>IF(AO45="1",BG45,0)</f>
        <v>0</v>
      </c>
      <c r="AB45" s="77">
        <f>IF(AO45="7",BF45,0)</f>
        <v>0</v>
      </c>
      <c r="AC45" s="77">
        <f>IF(AO45="7",BG45,0)</f>
        <v>0</v>
      </c>
      <c r="AD45" s="77">
        <f>IF(AO45="2",BF45,0)</f>
        <v>0</v>
      </c>
      <c r="AE45" s="77">
        <f>IF(AO45="2",BG45,0)</f>
        <v>0</v>
      </c>
      <c r="AF45" s="77">
        <f>IF(AO45="0",BH45,0)</f>
        <v>0</v>
      </c>
      <c r="AG45" s="71" t="s">
        <v>129</v>
      </c>
      <c r="AH45" s="77">
        <f>IF(AL45=0,J45,0)</f>
        <v>0</v>
      </c>
      <c r="AI45" s="77">
        <f>IF(AL45=15,J45,0)</f>
        <v>0</v>
      </c>
      <c r="AJ45" s="77">
        <f>IF(AL45=21,J45,0)</f>
        <v>0</v>
      </c>
      <c r="AL45" s="77">
        <v>15</v>
      </c>
      <c r="AM45" s="77">
        <f>G45*0</f>
        <v>0</v>
      </c>
      <c r="AN45" s="77">
        <f>G45*(1-0)</f>
        <v>0</v>
      </c>
      <c r="AO45" s="79" t="s">
        <v>132</v>
      </c>
      <c r="AT45" s="77">
        <f>AU45+AV45</f>
        <v>0</v>
      </c>
      <c r="AU45" s="77">
        <f>F45*AM45</f>
        <v>0</v>
      </c>
      <c r="AV45" s="77">
        <f>F45*AN45</f>
        <v>0</v>
      </c>
      <c r="AW45" s="79" t="s">
        <v>222</v>
      </c>
      <c r="AX45" s="79" t="s">
        <v>147</v>
      </c>
      <c r="AY45" s="71" t="s">
        <v>137</v>
      </c>
      <c r="BA45" s="77">
        <f>AU45+AV45</f>
        <v>0</v>
      </c>
      <c r="BB45" s="77">
        <f>G45/(100-BC45)*100</f>
        <v>0</v>
      </c>
      <c r="BC45" s="77">
        <v>0</v>
      </c>
      <c r="BD45" s="77">
        <f>L45</f>
        <v>0</v>
      </c>
      <c r="BF45" s="77">
        <f>F45*AM45</f>
        <v>0</v>
      </c>
      <c r="BG45" s="77">
        <f>F45*AN45</f>
        <v>0</v>
      </c>
      <c r="BH45" s="77">
        <f>F45*G45</f>
        <v>0</v>
      </c>
      <c r="BI45" s="77"/>
      <c r="BJ45" s="77">
        <v>16</v>
      </c>
      <c r="BU45" s="77" t="e">
        <f>#REF!</f>
        <v>#REF!</v>
      </c>
      <c r="BV45" s="70" t="s">
        <v>242</v>
      </c>
    </row>
    <row r="46" spans="1:74" ht="40.5" customHeight="1" x14ac:dyDescent="0.25">
      <c r="A46" s="104"/>
      <c r="B46" s="81" t="s">
        <v>138</v>
      </c>
      <c r="C46" s="303" t="s">
        <v>1187</v>
      </c>
      <c r="D46" s="304"/>
      <c r="E46" s="304"/>
      <c r="F46" s="304"/>
      <c r="G46" s="304"/>
      <c r="H46" s="304"/>
      <c r="I46" s="304"/>
      <c r="J46" s="304"/>
      <c r="K46" s="304"/>
      <c r="L46" s="304"/>
      <c r="M46" s="305"/>
    </row>
    <row r="47" spans="1:74" x14ac:dyDescent="0.25">
      <c r="A47" s="92" t="s">
        <v>209</v>
      </c>
      <c r="B47" s="69" t="s">
        <v>749</v>
      </c>
      <c r="C47" s="306" t="s">
        <v>750</v>
      </c>
      <c r="D47" s="307"/>
      <c r="E47" s="69" t="s">
        <v>177</v>
      </c>
      <c r="F47" s="77">
        <v>1.22</v>
      </c>
      <c r="G47" s="218">
        <v>0</v>
      </c>
      <c r="H47" s="77">
        <f>F47*AM47</f>
        <v>0</v>
      </c>
      <c r="I47" s="77">
        <f>F47*AN47</f>
        <v>0</v>
      </c>
      <c r="J47" s="77">
        <f>F47*G47</f>
        <v>0</v>
      </c>
      <c r="K47" s="77">
        <v>0</v>
      </c>
      <c r="L47" s="77">
        <f>F47*K47</f>
        <v>0</v>
      </c>
      <c r="M47" s="103" t="s">
        <v>35</v>
      </c>
      <c r="X47" s="77">
        <f>IF(AO47="5",BH47,0)</f>
        <v>0</v>
      </c>
      <c r="Z47" s="77">
        <f>IF(AO47="1",BF47,0)</f>
        <v>0</v>
      </c>
      <c r="AA47" s="77">
        <f>IF(AO47="1",BG47,0)</f>
        <v>0</v>
      </c>
      <c r="AB47" s="77">
        <f>IF(AO47="7",BF47,0)</f>
        <v>0</v>
      </c>
      <c r="AC47" s="77">
        <f>IF(AO47="7",BG47,0)</f>
        <v>0</v>
      </c>
      <c r="AD47" s="77">
        <f>IF(AO47="2",BF47,0)</f>
        <v>0</v>
      </c>
      <c r="AE47" s="77">
        <f>IF(AO47="2",BG47,0)</f>
        <v>0</v>
      </c>
      <c r="AF47" s="77">
        <f>IF(AO47="0",BH47,0)</f>
        <v>0</v>
      </c>
      <c r="AG47" s="71" t="s">
        <v>129</v>
      </c>
      <c r="AH47" s="77">
        <f>IF(AL47=0,J47,0)</f>
        <v>0</v>
      </c>
      <c r="AI47" s="77">
        <f>IF(AL47=15,J47,0)</f>
        <v>0</v>
      </c>
      <c r="AJ47" s="77">
        <f>IF(AL47=21,J47,0)</f>
        <v>0</v>
      </c>
      <c r="AL47" s="77">
        <v>15</v>
      </c>
      <c r="AM47" s="77">
        <f>G47*0</f>
        <v>0</v>
      </c>
      <c r="AN47" s="77">
        <f>G47*(1-0)</f>
        <v>0</v>
      </c>
      <c r="AO47" s="79" t="s">
        <v>132</v>
      </c>
      <c r="AT47" s="77">
        <f>AU47+AV47</f>
        <v>0</v>
      </c>
      <c r="AU47" s="77">
        <f>F47*AM47</f>
        <v>0</v>
      </c>
      <c r="AV47" s="77">
        <f>F47*AN47</f>
        <v>0</v>
      </c>
      <c r="AW47" s="79" t="s">
        <v>222</v>
      </c>
      <c r="AX47" s="79" t="s">
        <v>147</v>
      </c>
      <c r="AY47" s="71" t="s">
        <v>137</v>
      </c>
      <c r="BA47" s="77">
        <f>AU47+AV47</f>
        <v>0</v>
      </c>
      <c r="BB47" s="77">
        <f>G47/(100-BC47)*100</f>
        <v>0</v>
      </c>
      <c r="BC47" s="77">
        <v>0</v>
      </c>
      <c r="BD47" s="77">
        <f>L47</f>
        <v>0</v>
      </c>
      <c r="BF47" s="77">
        <f>F47*AM47</f>
        <v>0</v>
      </c>
      <c r="BG47" s="77">
        <f>F47*AN47</f>
        <v>0</v>
      </c>
      <c r="BH47" s="77">
        <f>F47*G47</f>
        <v>0</v>
      </c>
      <c r="BI47" s="77"/>
      <c r="BJ47" s="77">
        <v>16</v>
      </c>
      <c r="BU47" s="77" t="e">
        <f>#REF!</f>
        <v>#REF!</v>
      </c>
      <c r="BV47" s="70" t="s">
        <v>750</v>
      </c>
    </row>
    <row r="48" spans="1:74" ht="40.5" customHeight="1" x14ac:dyDescent="0.25">
      <c r="A48" s="104"/>
      <c r="B48" s="81" t="s">
        <v>138</v>
      </c>
      <c r="C48" s="303" t="s">
        <v>1188</v>
      </c>
      <c r="D48" s="304"/>
      <c r="E48" s="304"/>
      <c r="F48" s="304"/>
      <c r="G48" s="304"/>
      <c r="H48" s="304"/>
      <c r="I48" s="304"/>
      <c r="J48" s="304"/>
      <c r="K48" s="304"/>
      <c r="L48" s="304"/>
      <c r="M48" s="305"/>
    </row>
    <row r="49" spans="1:74" x14ac:dyDescent="0.25">
      <c r="A49" s="92" t="s">
        <v>214</v>
      </c>
      <c r="B49" s="69" t="s">
        <v>752</v>
      </c>
      <c r="C49" s="306" t="s">
        <v>753</v>
      </c>
      <c r="D49" s="307"/>
      <c r="E49" s="69" t="s">
        <v>177</v>
      </c>
      <c r="F49" s="77">
        <v>1.22</v>
      </c>
      <c r="G49" s="218">
        <v>0</v>
      </c>
      <c r="H49" s="77">
        <f>F49*AM49</f>
        <v>0</v>
      </c>
      <c r="I49" s="77">
        <f>F49*AN49</f>
        <v>0</v>
      </c>
      <c r="J49" s="77">
        <f>F49*G49</f>
        <v>0</v>
      </c>
      <c r="K49" s="77">
        <v>0</v>
      </c>
      <c r="L49" s="77">
        <f>F49*K49</f>
        <v>0</v>
      </c>
      <c r="M49" s="103" t="s">
        <v>35</v>
      </c>
      <c r="X49" s="77">
        <f>IF(AO49="5",BH49,0)</f>
        <v>0</v>
      </c>
      <c r="Z49" s="77">
        <f>IF(AO49="1",BF49,0)</f>
        <v>0</v>
      </c>
      <c r="AA49" s="77">
        <f>IF(AO49="1",BG49,0)</f>
        <v>0</v>
      </c>
      <c r="AB49" s="77">
        <f>IF(AO49="7",BF49,0)</f>
        <v>0</v>
      </c>
      <c r="AC49" s="77">
        <f>IF(AO49="7",BG49,0)</f>
        <v>0</v>
      </c>
      <c r="AD49" s="77">
        <f>IF(AO49="2",BF49,0)</f>
        <v>0</v>
      </c>
      <c r="AE49" s="77">
        <f>IF(AO49="2",BG49,0)</f>
        <v>0</v>
      </c>
      <c r="AF49" s="77">
        <f>IF(AO49="0",BH49,0)</f>
        <v>0</v>
      </c>
      <c r="AG49" s="71" t="s">
        <v>129</v>
      </c>
      <c r="AH49" s="77">
        <f>IF(AL49=0,J49,0)</f>
        <v>0</v>
      </c>
      <c r="AI49" s="77">
        <f>IF(AL49=15,J49,0)</f>
        <v>0</v>
      </c>
      <c r="AJ49" s="77">
        <f>IF(AL49=21,J49,0)</f>
        <v>0</v>
      </c>
      <c r="AL49" s="77">
        <v>15</v>
      </c>
      <c r="AM49" s="77">
        <f>G49*0</f>
        <v>0</v>
      </c>
      <c r="AN49" s="77">
        <f>G49*(1-0)</f>
        <v>0</v>
      </c>
      <c r="AO49" s="79" t="s">
        <v>132</v>
      </c>
      <c r="AT49" s="77">
        <f>AU49+AV49</f>
        <v>0</v>
      </c>
      <c r="AU49" s="77">
        <f>F49*AM49</f>
        <v>0</v>
      </c>
      <c r="AV49" s="77">
        <f>F49*AN49</f>
        <v>0</v>
      </c>
      <c r="AW49" s="79" t="s">
        <v>222</v>
      </c>
      <c r="AX49" s="79" t="s">
        <v>147</v>
      </c>
      <c r="AY49" s="71" t="s">
        <v>137</v>
      </c>
      <c r="BA49" s="77">
        <f>AU49+AV49</f>
        <v>0</v>
      </c>
      <c r="BB49" s="77">
        <f>G49/(100-BC49)*100</f>
        <v>0</v>
      </c>
      <c r="BC49" s="77">
        <v>0</v>
      </c>
      <c r="BD49" s="77">
        <f>L49</f>
        <v>0</v>
      </c>
      <c r="BF49" s="77">
        <f>F49*AM49</f>
        <v>0</v>
      </c>
      <c r="BG49" s="77">
        <f>F49*AN49</f>
        <v>0</v>
      </c>
      <c r="BH49" s="77">
        <f>F49*G49</f>
        <v>0</v>
      </c>
      <c r="BI49" s="77"/>
      <c r="BJ49" s="77">
        <v>16</v>
      </c>
      <c r="BU49" s="77" t="e">
        <f>#REF!</f>
        <v>#REF!</v>
      </c>
      <c r="BV49" s="70" t="s">
        <v>753</v>
      </c>
    </row>
    <row r="50" spans="1:74" ht="40.5" customHeight="1" x14ac:dyDescent="0.25">
      <c r="A50" s="104"/>
      <c r="B50" s="81" t="s">
        <v>138</v>
      </c>
      <c r="C50" s="303" t="s">
        <v>1189</v>
      </c>
      <c r="D50" s="304"/>
      <c r="E50" s="304"/>
      <c r="F50" s="304"/>
      <c r="G50" s="304"/>
      <c r="H50" s="304"/>
      <c r="I50" s="304"/>
      <c r="J50" s="304"/>
      <c r="K50" s="304"/>
      <c r="L50" s="304"/>
      <c r="M50" s="305"/>
    </row>
    <row r="51" spans="1:74" x14ac:dyDescent="0.25">
      <c r="A51" s="105" t="s">
        <v>129</v>
      </c>
      <c r="B51" s="74" t="s">
        <v>214</v>
      </c>
      <c r="C51" s="314" t="s">
        <v>244</v>
      </c>
      <c r="D51" s="315"/>
      <c r="E51" s="75" t="s">
        <v>87</v>
      </c>
      <c r="F51" s="75" t="s">
        <v>87</v>
      </c>
      <c r="G51" s="75" t="s">
        <v>87</v>
      </c>
      <c r="H51" s="67">
        <f>SUM(H52:H56)</f>
        <v>0</v>
      </c>
      <c r="I51" s="67">
        <f>SUM(I52:I56)</f>
        <v>0</v>
      </c>
      <c r="J51" s="67">
        <f>SUM(J52:J56)</f>
        <v>0</v>
      </c>
      <c r="K51" s="71" t="s">
        <v>129</v>
      </c>
      <c r="L51" s="67">
        <f>SUM(L52:L56)</f>
        <v>3.2129999999999996</v>
      </c>
      <c r="M51" s="106" t="s">
        <v>129</v>
      </c>
      <c r="AG51" s="71" t="s">
        <v>129</v>
      </c>
      <c r="AQ51" s="67">
        <f>SUM(AH52:AH56)</f>
        <v>0</v>
      </c>
      <c r="AR51" s="67">
        <f>SUM(AI52:AI56)</f>
        <v>0</v>
      </c>
      <c r="AS51" s="67">
        <f>SUM(AJ52:AJ56)</f>
        <v>0</v>
      </c>
    </row>
    <row r="52" spans="1:74" x14ac:dyDescent="0.25">
      <c r="A52" s="92" t="s">
        <v>219</v>
      </c>
      <c r="B52" s="69" t="s">
        <v>246</v>
      </c>
      <c r="C52" s="306" t="s">
        <v>247</v>
      </c>
      <c r="D52" s="307"/>
      <c r="E52" s="69" t="s">
        <v>177</v>
      </c>
      <c r="F52" s="77">
        <v>1.89</v>
      </c>
      <c r="G52" s="218">
        <v>0</v>
      </c>
      <c r="H52" s="77">
        <f>F52*AM52</f>
        <v>0</v>
      </c>
      <c r="I52" s="77">
        <f>F52*AN52</f>
        <v>0</v>
      </c>
      <c r="J52" s="77">
        <f>F52*G52</f>
        <v>0</v>
      </c>
      <c r="K52" s="77">
        <v>1.7</v>
      </c>
      <c r="L52" s="77">
        <f>F52*K52</f>
        <v>3.2129999999999996</v>
      </c>
      <c r="M52" s="103"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15</v>
      </c>
      <c r="AM52" s="77">
        <f>G52*0.512977754</f>
        <v>0</v>
      </c>
      <c r="AN52" s="77">
        <f>G52*(1-0.512977754)</f>
        <v>0</v>
      </c>
      <c r="AO52" s="79" t="s">
        <v>132</v>
      </c>
      <c r="AT52" s="77">
        <f>AU52+AV52</f>
        <v>0</v>
      </c>
      <c r="AU52" s="77">
        <f>F52*AM52</f>
        <v>0</v>
      </c>
      <c r="AV52" s="77">
        <f>F52*AN52</f>
        <v>0</v>
      </c>
      <c r="AW52" s="79" t="s">
        <v>248</v>
      </c>
      <c r="AX52" s="79" t="s">
        <v>147</v>
      </c>
      <c r="AY52" s="71" t="s">
        <v>137</v>
      </c>
      <c r="BA52" s="77">
        <f>AU52+AV52</f>
        <v>0</v>
      </c>
      <c r="BB52" s="77">
        <f>G52/(100-BC52)*100</f>
        <v>0</v>
      </c>
      <c r="BC52" s="77">
        <v>0</v>
      </c>
      <c r="BD52" s="77">
        <f>L52</f>
        <v>3.2129999999999996</v>
      </c>
      <c r="BF52" s="77">
        <f>F52*AM52</f>
        <v>0</v>
      </c>
      <c r="BG52" s="77">
        <f>F52*AN52</f>
        <v>0</v>
      </c>
      <c r="BH52" s="77">
        <f>F52*G52</f>
        <v>0</v>
      </c>
      <c r="BI52" s="77"/>
      <c r="BJ52" s="77">
        <v>17</v>
      </c>
      <c r="BU52" s="77" t="e">
        <f>#REF!</f>
        <v>#REF!</v>
      </c>
      <c r="BV52" s="70" t="s">
        <v>247</v>
      </c>
    </row>
    <row r="53" spans="1:74" ht="54" customHeight="1" thickBot="1" x14ac:dyDescent="0.3">
      <c r="A53" s="107"/>
      <c r="B53" s="108" t="s">
        <v>138</v>
      </c>
      <c r="C53" s="308" t="s">
        <v>1190</v>
      </c>
      <c r="D53" s="309"/>
      <c r="E53" s="309"/>
      <c r="F53" s="309"/>
      <c r="G53" s="309"/>
      <c r="H53" s="309"/>
      <c r="I53" s="309"/>
      <c r="J53" s="309"/>
      <c r="K53" s="309"/>
      <c r="L53" s="309"/>
      <c r="M53" s="310"/>
    </row>
    <row r="54" spans="1:74" x14ac:dyDescent="0.25">
      <c r="A54" s="122" t="s">
        <v>224</v>
      </c>
      <c r="B54" s="109" t="s">
        <v>251</v>
      </c>
      <c r="C54" s="312" t="s">
        <v>252</v>
      </c>
      <c r="D54" s="313"/>
      <c r="E54" s="109" t="s">
        <v>177</v>
      </c>
      <c r="F54" s="123">
        <v>1.89</v>
      </c>
      <c r="G54" s="219">
        <v>0</v>
      </c>
      <c r="H54" s="123">
        <f>F54*AM54</f>
        <v>0</v>
      </c>
      <c r="I54" s="123">
        <f>F54*AN54</f>
        <v>0</v>
      </c>
      <c r="J54" s="123">
        <f>F54*G54</f>
        <v>0</v>
      </c>
      <c r="K54" s="123">
        <v>0</v>
      </c>
      <c r="L54" s="123">
        <f>F54*K54</f>
        <v>0</v>
      </c>
      <c r="M54" s="124"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f>
        <v>0</v>
      </c>
      <c r="AN54" s="77">
        <f>G54*(1-0)</f>
        <v>0</v>
      </c>
      <c r="AO54" s="79" t="s">
        <v>132</v>
      </c>
      <c r="AT54" s="77">
        <f>AU54+AV54</f>
        <v>0</v>
      </c>
      <c r="AU54" s="77">
        <f>F54*AM54</f>
        <v>0</v>
      </c>
      <c r="AV54" s="77">
        <f>F54*AN54</f>
        <v>0</v>
      </c>
      <c r="AW54" s="79" t="s">
        <v>248</v>
      </c>
      <c r="AX54" s="79" t="s">
        <v>147</v>
      </c>
      <c r="AY54" s="71" t="s">
        <v>137</v>
      </c>
      <c r="BA54" s="77">
        <f>AU54+AV54</f>
        <v>0</v>
      </c>
      <c r="BB54" s="77">
        <f>G54/(100-BC54)*100</f>
        <v>0</v>
      </c>
      <c r="BC54" s="77">
        <v>0</v>
      </c>
      <c r="BD54" s="77">
        <f>L54</f>
        <v>0</v>
      </c>
      <c r="BF54" s="77">
        <f>F54*AM54</f>
        <v>0</v>
      </c>
      <c r="BG54" s="77">
        <f>F54*AN54</f>
        <v>0</v>
      </c>
      <c r="BH54" s="77">
        <f>F54*G54</f>
        <v>0</v>
      </c>
      <c r="BI54" s="77"/>
      <c r="BJ54" s="77">
        <v>17</v>
      </c>
      <c r="BU54" s="77" t="e">
        <f>#REF!</f>
        <v>#REF!</v>
      </c>
      <c r="BV54" s="70" t="s">
        <v>252</v>
      </c>
    </row>
    <row r="55" spans="1:74" ht="40.5" customHeight="1" x14ac:dyDescent="0.25">
      <c r="A55" s="104"/>
      <c r="B55" s="81" t="s">
        <v>138</v>
      </c>
      <c r="C55" s="303" t="s">
        <v>1191</v>
      </c>
      <c r="D55" s="304"/>
      <c r="E55" s="304"/>
      <c r="F55" s="304"/>
      <c r="G55" s="304"/>
      <c r="H55" s="304"/>
      <c r="I55" s="304"/>
      <c r="J55" s="304"/>
      <c r="K55" s="304"/>
      <c r="L55" s="304"/>
      <c r="M55" s="305"/>
    </row>
    <row r="56" spans="1:74" x14ac:dyDescent="0.25">
      <c r="A56" s="92" t="s">
        <v>228</v>
      </c>
      <c r="B56" s="69" t="s">
        <v>254</v>
      </c>
      <c r="C56" s="306" t="s">
        <v>255</v>
      </c>
      <c r="D56" s="307"/>
      <c r="E56" s="69" t="s">
        <v>177</v>
      </c>
      <c r="F56" s="77">
        <v>5.3</v>
      </c>
      <c r="G56" s="218">
        <v>0</v>
      </c>
      <c r="H56" s="77">
        <f>F56*AM56</f>
        <v>0</v>
      </c>
      <c r="I56" s="77">
        <f>F56*AN56</f>
        <v>0</v>
      </c>
      <c r="J56" s="77">
        <f>F56*G56</f>
        <v>0</v>
      </c>
      <c r="K56" s="77">
        <v>0</v>
      </c>
      <c r="L56" s="77">
        <f>F56*K56</f>
        <v>0</v>
      </c>
      <c r="M56" s="103" t="s">
        <v>35</v>
      </c>
      <c r="X56" s="77">
        <f>IF(AO56="5",BH56,0)</f>
        <v>0</v>
      </c>
      <c r="Z56" s="77">
        <f>IF(AO56="1",BF56,0)</f>
        <v>0</v>
      </c>
      <c r="AA56" s="77">
        <f>IF(AO56="1",BG56,0)</f>
        <v>0</v>
      </c>
      <c r="AB56" s="77">
        <f>IF(AO56="7",BF56,0)</f>
        <v>0</v>
      </c>
      <c r="AC56" s="77">
        <f>IF(AO56="7",BG56,0)</f>
        <v>0</v>
      </c>
      <c r="AD56" s="77">
        <f>IF(AO56="2",BF56,0)</f>
        <v>0</v>
      </c>
      <c r="AE56" s="77">
        <f>IF(AO56="2",BG56,0)</f>
        <v>0</v>
      </c>
      <c r="AF56" s="77">
        <f>IF(AO56="0",BH56,0)</f>
        <v>0</v>
      </c>
      <c r="AG56" s="71" t="s">
        <v>129</v>
      </c>
      <c r="AH56" s="77">
        <f>IF(AL56=0,J56,0)</f>
        <v>0</v>
      </c>
      <c r="AI56" s="77">
        <f>IF(AL56=15,J56,0)</f>
        <v>0</v>
      </c>
      <c r="AJ56" s="77">
        <f>IF(AL56=21,J56,0)</f>
        <v>0</v>
      </c>
      <c r="AL56" s="77">
        <v>15</v>
      </c>
      <c r="AM56" s="77">
        <f>G56*0</f>
        <v>0</v>
      </c>
      <c r="AN56" s="77">
        <f>G56*(1-0)</f>
        <v>0</v>
      </c>
      <c r="AO56" s="79" t="s">
        <v>132</v>
      </c>
      <c r="AT56" s="77">
        <f>AU56+AV56</f>
        <v>0</v>
      </c>
      <c r="AU56" s="77">
        <f>F56*AM56</f>
        <v>0</v>
      </c>
      <c r="AV56" s="77">
        <f>F56*AN56</f>
        <v>0</v>
      </c>
      <c r="AW56" s="79" t="s">
        <v>248</v>
      </c>
      <c r="AX56" s="79" t="s">
        <v>147</v>
      </c>
      <c r="AY56" s="71" t="s">
        <v>137</v>
      </c>
      <c r="BA56" s="77">
        <f>AU56+AV56</f>
        <v>0</v>
      </c>
      <c r="BB56" s="77">
        <f>G56/(100-BC56)*100</f>
        <v>0</v>
      </c>
      <c r="BC56" s="77">
        <v>0</v>
      </c>
      <c r="BD56" s="77">
        <f>L56</f>
        <v>0</v>
      </c>
      <c r="BF56" s="77">
        <f>F56*AM56</f>
        <v>0</v>
      </c>
      <c r="BG56" s="77">
        <f>F56*AN56</f>
        <v>0</v>
      </c>
      <c r="BH56" s="77">
        <f>F56*G56</f>
        <v>0</v>
      </c>
      <c r="BI56" s="77"/>
      <c r="BJ56" s="77">
        <v>17</v>
      </c>
      <c r="BU56" s="77" t="e">
        <f>#REF!</f>
        <v>#REF!</v>
      </c>
      <c r="BV56" s="70" t="s">
        <v>255</v>
      </c>
    </row>
    <row r="57" spans="1:74" ht="81" customHeight="1" x14ac:dyDescent="0.25">
      <c r="A57" s="104"/>
      <c r="B57" s="81" t="s">
        <v>138</v>
      </c>
      <c r="C57" s="303" t="s">
        <v>1192</v>
      </c>
      <c r="D57" s="304"/>
      <c r="E57" s="304"/>
      <c r="F57" s="304"/>
      <c r="G57" s="304"/>
      <c r="H57" s="304"/>
      <c r="I57" s="304"/>
      <c r="J57" s="304"/>
      <c r="K57" s="304"/>
      <c r="L57" s="304"/>
      <c r="M57" s="305"/>
    </row>
    <row r="58" spans="1:74" x14ac:dyDescent="0.25">
      <c r="A58" s="105" t="s">
        <v>129</v>
      </c>
      <c r="B58" s="74" t="s">
        <v>219</v>
      </c>
      <c r="C58" s="314" t="s">
        <v>757</v>
      </c>
      <c r="D58" s="315"/>
      <c r="E58" s="75" t="s">
        <v>87</v>
      </c>
      <c r="F58" s="75" t="s">
        <v>87</v>
      </c>
      <c r="G58" s="75" t="s">
        <v>87</v>
      </c>
      <c r="H58" s="67">
        <f>SUM(H59:H59)</f>
        <v>0</v>
      </c>
      <c r="I58" s="67">
        <f>SUM(I59:I59)</f>
        <v>0</v>
      </c>
      <c r="J58" s="67">
        <f>SUM(J59:J59)</f>
        <v>0</v>
      </c>
      <c r="K58" s="71" t="s">
        <v>129</v>
      </c>
      <c r="L58" s="67">
        <f>SUM(L59:L59)</f>
        <v>7.7699999999999991E-5</v>
      </c>
      <c r="M58" s="106" t="s">
        <v>129</v>
      </c>
      <c r="AG58" s="71" t="s">
        <v>129</v>
      </c>
      <c r="AQ58" s="67">
        <f>SUM(AH59:AH59)</f>
        <v>0</v>
      </c>
      <c r="AR58" s="67">
        <f>SUM(AI59:AI59)</f>
        <v>0</v>
      </c>
      <c r="AS58" s="67">
        <f>SUM(AJ59:AJ59)</f>
        <v>0</v>
      </c>
    </row>
    <row r="59" spans="1:74" x14ac:dyDescent="0.25">
      <c r="A59" s="92" t="s">
        <v>232</v>
      </c>
      <c r="B59" s="69" t="s">
        <v>758</v>
      </c>
      <c r="C59" s="306" t="s">
        <v>759</v>
      </c>
      <c r="D59" s="307"/>
      <c r="E59" s="69" t="s">
        <v>166</v>
      </c>
      <c r="F59" s="77">
        <v>2.59</v>
      </c>
      <c r="G59" s="218">
        <v>0</v>
      </c>
      <c r="H59" s="77">
        <f>F59*AM59</f>
        <v>0</v>
      </c>
      <c r="I59" s="77">
        <f>F59*AN59</f>
        <v>0</v>
      </c>
      <c r="J59" s="77">
        <f>F59*G59</f>
        <v>0</v>
      </c>
      <c r="K59" s="77">
        <v>3.0000000000000001E-5</v>
      </c>
      <c r="L59" s="77">
        <f>F59*K59</f>
        <v>7.7699999999999991E-5</v>
      </c>
      <c r="M59" s="103" t="s">
        <v>35</v>
      </c>
      <c r="X59" s="77">
        <f>IF(AO59="5",BH59,0)</f>
        <v>0</v>
      </c>
      <c r="Z59" s="77">
        <f>IF(AO59="1",BF59,0)</f>
        <v>0</v>
      </c>
      <c r="AA59" s="77">
        <f>IF(AO59="1",BG59,0)</f>
        <v>0</v>
      </c>
      <c r="AB59" s="77">
        <f>IF(AO59="7",BF59,0)</f>
        <v>0</v>
      </c>
      <c r="AC59" s="77">
        <f>IF(AO59="7",BG59,0)</f>
        <v>0</v>
      </c>
      <c r="AD59" s="77">
        <f>IF(AO59="2",BF59,0)</f>
        <v>0</v>
      </c>
      <c r="AE59" s="77">
        <f>IF(AO59="2",BG59,0)</f>
        <v>0</v>
      </c>
      <c r="AF59" s="77">
        <f>IF(AO59="0",BH59,0)</f>
        <v>0</v>
      </c>
      <c r="AG59" s="71" t="s">
        <v>129</v>
      </c>
      <c r="AH59" s="77">
        <f>IF(AL59=0,J59,0)</f>
        <v>0</v>
      </c>
      <c r="AI59" s="77">
        <f>IF(AL59=15,J59,0)</f>
        <v>0</v>
      </c>
      <c r="AJ59" s="77">
        <f>IF(AL59=21,J59,0)</f>
        <v>0</v>
      </c>
      <c r="AL59" s="77">
        <v>15</v>
      </c>
      <c r="AM59" s="77">
        <f>G59*0.041050654</f>
        <v>0</v>
      </c>
      <c r="AN59" s="77">
        <f>G59*(1-0.041050654)</f>
        <v>0</v>
      </c>
      <c r="AO59" s="79" t="s">
        <v>132</v>
      </c>
      <c r="AT59" s="77">
        <f>AU59+AV59</f>
        <v>0</v>
      </c>
      <c r="AU59" s="77">
        <f>F59*AM59</f>
        <v>0</v>
      </c>
      <c r="AV59" s="77">
        <f>F59*AN59</f>
        <v>0</v>
      </c>
      <c r="AW59" s="79" t="s">
        <v>760</v>
      </c>
      <c r="AX59" s="79" t="s">
        <v>147</v>
      </c>
      <c r="AY59" s="71" t="s">
        <v>137</v>
      </c>
      <c r="BA59" s="77">
        <f>AU59+AV59</f>
        <v>0</v>
      </c>
      <c r="BB59" s="77">
        <f>G59/(100-BC59)*100</f>
        <v>0</v>
      </c>
      <c r="BC59" s="77">
        <v>0</v>
      </c>
      <c r="BD59" s="77">
        <f>L59</f>
        <v>7.7699999999999991E-5</v>
      </c>
      <c r="BF59" s="77">
        <f>F59*AM59</f>
        <v>0</v>
      </c>
      <c r="BG59" s="77">
        <f>F59*AN59</f>
        <v>0</v>
      </c>
      <c r="BH59" s="77">
        <f>F59*G59</f>
        <v>0</v>
      </c>
      <c r="BI59" s="77"/>
      <c r="BJ59" s="77">
        <v>18</v>
      </c>
      <c r="BU59" s="77" t="e">
        <f>#REF!</f>
        <v>#REF!</v>
      </c>
      <c r="BV59" s="70" t="s">
        <v>759</v>
      </c>
    </row>
    <row r="60" spans="1:74" ht="40.5" customHeight="1" x14ac:dyDescent="0.25">
      <c r="A60" s="104"/>
      <c r="B60" s="81" t="s">
        <v>138</v>
      </c>
      <c r="C60" s="303" t="s">
        <v>1193</v>
      </c>
      <c r="D60" s="304"/>
      <c r="E60" s="304"/>
      <c r="F60" s="304"/>
      <c r="G60" s="304"/>
      <c r="H60" s="304"/>
      <c r="I60" s="304"/>
      <c r="J60" s="304"/>
      <c r="K60" s="304"/>
      <c r="L60" s="304"/>
      <c r="M60" s="305"/>
    </row>
    <row r="61" spans="1:74" x14ac:dyDescent="0.25">
      <c r="A61" s="105" t="s">
        <v>129</v>
      </c>
      <c r="B61" s="74" t="s">
        <v>224</v>
      </c>
      <c r="C61" s="314" t="s">
        <v>257</v>
      </c>
      <c r="D61" s="315"/>
      <c r="E61" s="75" t="s">
        <v>87</v>
      </c>
      <c r="F61" s="75" t="s">
        <v>87</v>
      </c>
      <c r="G61" s="75" t="s">
        <v>87</v>
      </c>
      <c r="H61" s="67">
        <f>SUM(H62:H62)</f>
        <v>0</v>
      </c>
      <c r="I61" s="67">
        <f>SUM(I62:I62)</f>
        <v>0</v>
      </c>
      <c r="J61" s="67">
        <f>SUM(J62:J62)</f>
        <v>0</v>
      </c>
      <c r="K61" s="71" t="s">
        <v>129</v>
      </c>
      <c r="L61" s="67">
        <f>SUM(L62:L62)</f>
        <v>0</v>
      </c>
      <c r="M61" s="106" t="s">
        <v>129</v>
      </c>
      <c r="AG61" s="71" t="s">
        <v>129</v>
      </c>
      <c r="AQ61" s="67">
        <f>SUM(AH62:AH62)</f>
        <v>0</v>
      </c>
      <c r="AR61" s="67">
        <f>SUM(AI62:AI62)</f>
        <v>0</v>
      </c>
      <c r="AS61" s="67">
        <f>SUM(AJ62:AJ62)</f>
        <v>0</v>
      </c>
    </row>
    <row r="62" spans="1:74" x14ac:dyDescent="0.25">
      <c r="A62" s="92" t="s">
        <v>236</v>
      </c>
      <c r="B62" s="69" t="s">
        <v>259</v>
      </c>
      <c r="C62" s="306" t="s">
        <v>260</v>
      </c>
      <c r="D62" s="307"/>
      <c r="E62" s="69" t="s">
        <v>177</v>
      </c>
      <c r="F62" s="77">
        <v>2.64</v>
      </c>
      <c r="G62" s="218">
        <v>0</v>
      </c>
      <c r="H62" s="77">
        <f>F62*AM62</f>
        <v>0</v>
      </c>
      <c r="I62" s="77">
        <f>F62*AN62</f>
        <v>0</v>
      </c>
      <c r="J62" s="77">
        <f>F62*G62</f>
        <v>0</v>
      </c>
      <c r="K62" s="77">
        <v>0</v>
      </c>
      <c r="L62" s="77">
        <f>F62*K62</f>
        <v>0</v>
      </c>
      <c r="M62" s="103" t="s">
        <v>35</v>
      </c>
      <c r="X62" s="77">
        <f>IF(AO62="5",BH62,0)</f>
        <v>0</v>
      </c>
      <c r="Z62" s="77">
        <f>IF(AO62="1",BF62,0)</f>
        <v>0</v>
      </c>
      <c r="AA62" s="77">
        <f>IF(AO62="1",BG62,0)</f>
        <v>0</v>
      </c>
      <c r="AB62" s="77">
        <f>IF(AO62="7",BF62,0)</f>
        <v>0</v>
      </c>
      <c r="AC62" s="77">
        <f>IF(AO62="7",BG62,0)</f>
        <v>0</v>
      </c>
      <c r="AD62" s="77">
        <f>IF(AO62="2",BF62,0)</f>
        <v>0</v>
      </c>
      <c r="AE62" s="77">
        <f>IF(AO62="2",BG62,0)</f>
        <v>0</v>
      </c>
      <c r="AF62" s="77">
        <f>IF(AO62="0",BH62,0)</f>
        <v>0</v>
      </c>
      <c r="AG62" s="71" t="s">
        <v>129</v>
      </c>
      <c r="AH62" s="77">
        <f>IF(AL62=0,J62,0)</f>
        <v>0</v>
      </c>
      <c r="AI62" s="77">
        <f>IF(AL62=15,J62,0)</f>
        <v>0</v>
      </c>
      <c r="AJ62" s="77">
        <f>IF(AL62=21,J62,0)</f>
        <v>0</v>
      </c>
      <c r="AL62" s="77">
        <v>15</v>
      </c>
      <c r="AM62" s="77">
        <f>G62*0</f>
        <v>0</v>
      </c>
      <c r="AN62" s="77">
        <f>G62*(1-0)</f>
        <v>0</v>
      </c>
      <c r="AO62" s="79" t="s">
        <v>132</v>
      </c>
      <c r="AT62" s="77">
        <f>AU62+AV62</f>
        <v>0</v>
      </c>
      <c r="AU62" s="77">
        <f>F62*AM62</f>
        <v>0</v>
      </c>
      <c r="AV62" s="77">
        <f>F62*AN62</f>
        <v>0</v>
      </c>
      <c r="AW62" s="79" t="s">
        <v>261</v>
      </c>
      <c r="AX62" s="79" t="s">
        <v>147</v>
      </c>
      <c r="AY62" s="71" t="s">
        <v>137</v>
      </c>
      <c r="BA62" s="77">
        <f>AU62+AV62</f>
        <v>0</v>
      </c>
      <c r="BB62" s="77">
        <f>G62/(100-BC62)*100</f>
        <v>0</v>
      </c>
      <c r="BC62" s="77">
        <v>0</v>
      </c>
      <c r="BD62" s="77">
        <f>L62</f>
        <v>0</v>
      </c>
      <c r="BF62" s="77">
        <f>F62*AM62</f>
        <v>0</v>
      </c>
      <c r="BG62" s="77">
        <f>F62*AN62</f>
        <v>0</v>
      </c>
      <c r="BH62" s="77">
        <f>F62*G62</f>
        <v>0</v>
      </c>
      <c r="BI62" s="77"/>
      <c r="BJ62" s="77">
        <v>19</v>
      </c>
      <c r="BU62" s="77" t="e">
        <f>#REF!</f>
        <v>#REF!</v>
      </c>
      <c r="BV62" s="70" t="s">
        <v>260</v>
      </c>
    </row>
    <row r="63" spans="1:74" ht="13.5" customHeight="1" x14ac:dyDescent="0.25">
      <c r="A63" s="104"/>
      <c r="B63" s="81" t="s">
        <v>138</v>
      </c>
      <c r="C63" s="303" t="s">
        <v>515</v>
      </c>
      <c r="D63" s="304"/>
      <c r="E63" s="304"/>
      <c r="F63" s="304"/>
      <c r="G63" s="304"/>
      <c r="H63" s="304"/>
      <c r="I63" s="304"/>
      <c r="J63" s="304"/>
      <c r="K63" s="304"/>
      <c r="L63" s="304"/>
      <c r="M63" s="305"/>
    </row>
    <row r="64" spans="1:74" x14ac:dyDescent="0.25">
      <c r="A64" s="105" t="s">
        <v>129</v>
      </c>
      <c r="B64" s="74" t="s">
        <v>232</v>
      </c>
      <c r="C64" s="314" t="s">
        <v>267</v>
      </c>
      <c r="D64" s="315"/>
      <c r="E64" s="75" t="s">
        <v>87</v>
      </c>
      <c r="F64" s="75" t="s">
        <v>87</v>
      </c>
      <c r="G64" s="75" t="s">
        <v>87</v>
      </c>
      <c r="H64" s="67">
        <f>SUM(H65:H65)</f>
        <v>0</v>
      </c>
      <c r="I64" s="67">
        <f>SUM(I65:I65)</f>
        <v>0</v>
      </c>
      <c r="J64" s="67">
        <f>SUM(J65:J65)</f>
        <v>0</v>
      </c>
      <c r="K64" s="71" t="s">
        <v>129</v>
      </c>
      <c r="L64" s="67">
        <f>SUM(L65:L65)</f>
        <v>0</v>
      </c>
      <c r="M64" s="106" t="s">
        <v>129</v>
      </c>
      <c r="AG64" s="71" t="s">
        <v>129</v>
      </c>
      <c r="AQ64" s="67">
        <f>SUM(AH65:AH65)</f>
        <v>0</v>
      </c>
      <c r="AR64" s="67">
        <f>SUM(AI65:AI65)</f>
        <v>0</v>
      </c>
      <c r="AS64" s="67">
        <f>SUM(AJ65:AJ65)</f>
        <v>0</v>
      </c>
    </row>
    <row r="65" spans="1:74" x14ac:dyDescent="0.25">
      <c r="A65" s="92" t="s">
        <v>240</v>
      </c>
      <c r="B65" s="69" t="s">
        <v>927</v>
      </c>
      <c r="C65" s="306" t="s">
        <v>270</v>
      </c>
      <c r="D65" s="307"/>
      <c r="E65" s="69" t="s">
        <v>166</v>
      </c>
      <c r="F65" s="77">
        <v>5.28</v>
      </c>
      <c r="G65" s="218">
        <v>0</v>
      </c>
      <c r="H65" s="77">
        <f>F65*AM65</f>
        <v>0</v>
      </c>
      <c r="I65" s="77">
        <f>F65*AN65</f>
        <v>0</v>
      </c>
      <c r="J65" s="77">
        <f>F65*G65</f>
        <v>0</v>
      </c>
      <c r="K65" s="77">
        <v>0</v>
      </c>
      <c r="L65" s="77">
        <f>F65*K65</f>
        <v>0</v>
      </c>
      <c r="M65" s="103" t="s">
        <v>35</v>
      </c>
      <c r="X65" s="77">
        <f>IF(AO65="5",BH65,0)</f>
        <v>0</v>
      </c>
      <c r="Z65" s="77">
        <f>IF(AO65="1",BF65,0)</f>
        <v>0</v>
      </c>
      <c r="AA65" s="77">
        <f>IF(AO65="1",BG65,0)</f>
        <v>0</v>
      </c>
      <c r="AB65" s="77">
        <f>IF(AO65="7",BF65,0)</f>
        <v>0</v>
      </c>
      <c r="AC65" s="77">
        <f>IF(AO65="7",BG65,0)</f>
        <v>0</v>
      </c>
      <c r="AD65" s="77">
        <f>IF(AO65="2",BF65,0)</f>
        <v>0</v>
      </c>
      <c r="AE65" s="77">
        <f>IF(AO65="2",BG65,0)</f>
        <v>0</v>
      </c>
      <c r="AF65" s="77">
        <f>IF(AO65="0",BH65,0)</f>
        <v>0</v>
      </c>
      <c r="AG65" s="71" t="s">
        <v>129</v>
      </c>
      <c r="AH65" s="77">
        <f>IF(AL65=0,J65,0)</f>
        <v>0</v>
      </c>
      <c r="AI65" s="77">
        <f>IF(AL65=15,J65,0)</f>
        <v>0</v>
      </c>
      <c r="AJ65" s="77">
        <f>IF(AL65=21,J65,0)</f>
        <v>0</v>
      </c>
      <c r="AL65" s="77">
        <v>15</v>
      </c>
      <c r="AM65" s="77">
        <f>G65*0</f>
        <v>0</v>
      </c>
      <c r="AN65" s="77">
        <f>G65*(1-0)</f>
        <v>0</v>
      </c>
      <c r="AO65" s="79" t="s">
        <v>132</v>
      </c>
      <c r="AT65" s="77">
        <f>AU65+AV65</f>
        <v>0</v>
      </c>
      <c r="AU65" s="77">
        <f>F65*AM65</f>
        <v>0</v>
      </c>
      <c r="AV65" s="77">
        <f>F65*AN65</f>
        <v>0</v>
      </c>
      <c r="AW65" s="79" t="s">
        <v>271</v>
      </c>
      <c r="AX65" s="79" t="s">
        <v>272</v>
      </c>
      <c r="AY65" s="71" t="s">
        <v>137</v>
      </c>
      <c r="BA65" s="77">
        <f>AU65+AV65</f>
        <v>0</v>
      </c>
      <c r="BB65" s="77">
        <f>G65/(100-BC65)*100</f>
        <v>0</v>
      </c>
      <c r="BC65" s="77">
        <v>0</v>
      </c>
      <c r="BD65" s="77">
        <f>L65</f>
        <v>0</v>
      </c>
      <c r="BF65" s="77">
        <f>F65*AM65</f>
        <v>0</v>
      </c>
      <c r="BG65" s="77">
        <f>F65*AN65</f>
        <v>0</v>
      </c>
      <c r="BH65" s="77">
        <f>F65*G65</f>
        <v>0</v>
      </c>
      <c r="BI65" s="77"/>
      <c r="BJ65" s="77">
        <v>21</v>
      </c>
      <c r="BU65" s="77" t="e">
        <f>#REF!</f>
        <v>#REF!</v>
      </c>
      <c r="BV65" s="70" t="s">
        <v>270</v>
      </c>
    </row>
    <row r="66" spans="1:74" ht="40.5" customHeight="1" x14ac:dyDescent="0.25">
      <c r="A66" s="104"/>
      <c r="B66" s="81" t="s">
        <v>138</v>
      </c>
      <c r="C66" s="303" t="s">
        <v>1194</v>
      </c>
      <c r="D66" s="304"/>
      <c r="E66" s="304"/>
      <c r="F66" s="304"/>
      <c r="G66" s="304"/>
      <c r="H66" s="304"/>
      <c r="I66" s="304"/>
      <c r="J66" s="304"/>
      <c r="K66" s="304"/>
      <c r="L66" s="304"/>
      <c r="M66" s="305"/>
    </row>
    <row r="67" spans="1:74" x14ac:dyDescent="0.25">
      <c r="A67" s="105" t="s">
        <v>129</v>
      </c>
      <c r="B67" s="74" t="s">
        <v>288</v>
      </c>
      <c r="C67" s="314" t="s">
        <v>289</v>
      </c>
      <c r="D67" s="315"/>
      <c r="E67" s="75" t="s">
        <v>87</v>
      </c>
      <c r="F67" s="75" t="s">
        <v>87</v>
      </c>
      <c r="G67" s="75" t="s">
        <v>87</v>
      </c>
      <c r="H67" s="67">
        <f>SUM(H68:H68)</f>
        <v>0</v>
      </c>
      <c r="I67" s="67">
        <f>SUM(I68:I68)</f>
        <v>0</v>
      </c>
      <c r="J67" s="67">
        <f>SUM(J68:J68)</f>
        <v>0</v>
      </c>
      <c r="K67" s="71" t="s">
        <v>129</v>
      </c>
      <c r="L67" s="67">
        <f>SUM(L68:L68)</f>
        <v>1.4937083000000002</v>
      </c>
      <c r="M67" s="106" t="s">
        <v>129</v>
      </c>
      <c r="AG67" s="71" t="s">
        <v>129</v>
      </c>
      <c r="AQ67" s="67">
        <f>SUM(AH68:AH68)</f>
        <v>0</v>
      </c>
      <c r="AR67" s="67">
        <f>SUM(AI68:AI68)</f>
        <v>0</v>
      </c>
      <c r="AS67" s="67">
        <f>SUM(AJ68:AJ68)</f>
        <v>0</v>
      </c>
    </row>
    <row r="68" spans="1:74" x14ac:dyDescent="0.25">
      <c r="A68" s="92" t="s">
        <v>245</v>
      </c>
      <c r="B68" s="69" t="s">
        <v>291</v>
      </c>
      <c r="C68" s="306" t="s">
        <v>524</v>
      </c>
      <c r="D68" s="307"/>
      <c r="E68" s="69" t="s">
        <v>177</v>
      </c>
      <c r="F68" s="77">
        <v>0.79</v>
      </c>
      <c r="G68" s="218">
        <v>0</v>
      </c>
      <c r="H68" s="77">
        <f>F68*AM68</f>
        <v>0</v>
      </c>
      <c r="I68" s="77">
        <f>F68*AN68</f>
        <v>0</v>
      </c>
      <c r="J68" s="77">
        <f>F68*G68</f>
        <v>0</v>
      </c>
      <c r="K68" s="77">
        <v>1.8907700000000001</v>
      </c>
      <c r="L68" s="77">
        <f>F68*K68</f>
        <v>1.4937083000000002</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G68*0.487561495</f>
        <v>0</v>
      </c>
      <c r="AN68" s="77">
        <f>G68*(1-0.487561495)</f>
        <v>0</v>
      </c>
      <c r="AO68" s="79" t="s">
        <v>132</v>
      </c>
      <c r="AT68" s="77">
        <f>AU68+AV68</f>
        <v>0</v>
      </c>
      <c r="AU68" s="77">
        <f>F68*AM68</f>
        <v>0</v>
      </c>
      <c r="AV68" s="77">
        <f>F68*AN68</f>
        <v>0</v>
      </c>
      <c r="AW68" s="79" t="s">
        <v>293</v>
      </c>
      <c r="AX68" s="79" t="s">
        <v>294</v>
      </c>
      <c r="AY68" s="71" t="s">
        <v>137</v>
      </c>
      <c r="BA68" s="77">
        <f>AU68+AV68</f>
        <v>0</v>
      </c>
      <c r="BB68" s="77">
        <f>G68/(100-BC68)*100</f>
        <v>0</v>
      </c>
      <c r="BC68" s="77">
        <v>0</v>
      </c>
      <c r="BD68" s="77">
        <f>L68</f>
        <v>1.4937083000000002</v>
      </c>
      <c r="BF68" s="77">
        <f>F68*AM68</f>
        <v>0</v>
      </c>
      <c r="BG68" s="77">
        <f>F68*AN68</f>
        <v>0</v>
      </c>
      <c r="BH68" s="77">
        <f>F68*G68</f>
        <v>0</v>
      </c>
      <c r="BI68" s="77"/>
      <c r="BJ68" s="77">
        <v>45</v>
      </c>
      <c r="BU68" s="77" t="e">
        <f>#REF!</f>
        <v>#REF!</v>
      </c>
      <c r="BV68" s="70" t="s">
        <v>524</v>
      </c>
    </row>
    <row r="69" spans="1:74" ht="67.5" customHeight="1" x14ac:dyDescent="0.25">
      <c r="A69" s="104"/>
      <c r="B69" s="81" t="s">
        <v>138</v>
      </c>
      <c r="C69" s="303" t="s">
        <v>1195</v>
      </c>
      <c r="D69" s="304"/>
      <c r="E69" s="304"/>
      <c r="F69" s="304"/>
      <c r="G69" s="304"/>
      <c r="H69" s="304"/>
      <c r="I69" s="304"/>
      <c r="J69" s="304"/>
      <c r="K69" s="304"/>
      <c r="L69" s="304"/>
      <c r="M69" s="305"/>
    </row>
    <row r="70" spans="1:74" x14ac:dyDescent="0.25">
      <c r="A70" s="105" t="s">
        <v>129</v>
      </c>
      <c r="B70" s="74" t="s">
        <v>296</v>
      </c>
      <c r="C70" s="314" t="s">
        <v>297</v>
      </c>
      <c r="D70" s="315"/>
      <c r="E70" s="75" t="s">
        <v>87</v>
      </c>
      <c r="F70" s="75" t="s">
        <v>87</v>
      </c>
      <c r="G70" s="75" t="s">
        <v>87</v>
      </c>
      <c r="H70" s="67">
        <f>SUM(H71:H77)</f>
        <v>0</v>
      </c>
      <c r="I70" s="67">
        <f>SUM(I71:I77)</f>
        <v>0</v>
      </c>
      <c r="J70" s="67">
        <f>SUM(J71:J77)</f>
        <v>0</v>
      </c>
      <c r="K70" s="71" t="s">
        <v>129</v>
      </c>
      <c r="L70" s="67">
        <f>SUM(L71:L77)</f>
        <v>9.6583615999999992</v>
      </c>
      <c r="M70" s="106" t="s">
        <v>129</v>
      </c>
      <c r="AG70" s="71" t="s">
        <v>129</v>
      </c>
      <c r="AQ70" s="67">
        <f>SUM(AH71:AH77)</f>
        <v>0</v>
      </c>
      <c r="AR70" s="67">
        <f>SUM(AI71:AI77)</f>
        <v>0</v>
      </c>
      <c r="AS70" s="67">
        <f>SUM(AJ71:AJ77)</f>
        <v>0</v>
      </c>
    </row>
    <row r="71" spans="1:74" x14ac:dyDescent="0.25">
      <c r="A71" s="92" t="s">
        <v>250</v>
      </c>
      <c r="B71" s="69" t="s">
        <v>299</v>
      </c>
      <c r="C71" s="306" t="s">
        <v>300</v>
      </c>
      <c r="D71" s="307"/>
      <c r="E71" s="69" t="s">
        <v>166</v>
      </c>
      <c r="F71" s="77">
        <v>5.17</v>
      </c>
      <c r="G71" s="218">
        <v>0</v>
      </c>
      <c r="H71" s="77">
        <f>F71*AM71</f>
        <v>0</v>
      </c>
      <c r="I71" s="77">
        <f>F71*AN71</f>
        <v>0</v>
      </c>
      <c r="J71" s="77">
        <f>F71*G71</f>
        <v>0</v>
      </c>
      <c r="K71" s="77">
        <v>0.46</v>
      </c>
      <c r="L71" s="77">
        <f>F71*K71</f>
        <v>2.3782000000000001</v>
      </c>
      <c r="M71" s="103" t="s">
        <v>35</v>
      </c>
      <c r="X71" s="77">
        <f>IF(AO71="5",BH71,0)</f>
        <v>0</v>
      </c>
      <c r="Z71" s="77">
        <f>IF(AO71="1",BF71,0)</f>
        <v>0</v>
      </c>
      <c r="AA71" s="77">
        <f>IF(AO71="1",BG71,0)</f>
        <v>0</v>
      </c>
      <c r="AB71" s="77">
        <f>IF(AO71="7",BF71,0)</f>
        <v>0</v>
      </c>
      <c r="AC71" s="77">
        <f>IF(AO71="7",BG71,0)</f>
        <v>0</v>
      </c>
      <c r="AD71" s="77">
        <f>IF(AO71="2",BF71,0)</f>
        <v>0</v>
      </c>
      <c r="AE71" s="77">
        <f>IF(AO71="2",BG71,0)</f>
        <v>0</v>
      </c>
      <c r="AF71" s="77">
        <f>IF(AO71="0",BH71,0)</f>
        <v>0</v>
      </c>
      <c r="AG71" s="71" t="s">
        <v>129</v>
      </c>
      <c r="AH71" s="77">
        <f>IF(AL71=0,J71,0)</f>
        <v>0</v>
      </c>
      <c r="AI71" s="77">
        <f>IF(AL71=15,J71,0)</f>
        <v>0</v>
      </c>
      <c r="AJ71" s="77">
        <f>IF(AL71=21,J71,0)</f>
        <v>0</v>
      </c>
      <c r="AL71" s="77">
        <v>15</v>
      </c>
      <c r="AM71" s="77">
        <f>G71*0.854862407</f>
        <v>0</v>
      </c>
      <c r="AN71" s="77">
        <f>G71*(1-0.854862407)</f>
        <v>0</v>
      </c>
      <c r="AO71" s="79" t="s">
        <v>132</v>
      </c>
      <c r="AT71" s="77">
        <f>AU71+AV71</f>
        <v>0</v>
      </c>
      <c r="AU71" s="77">
        <f>F71*AM71</f>
        <v>0</v>
      </c>
      <c r="AV71" s="77">
        <f>F71*AN71</f>
        <v>0</v>
      </c>
      <c r="AW71" s="79" t="s">
        <v>301</v>
      </c>
      <c r="AX71" s="79" t="s">
        <v>302</v>
      </c>
      <c r="AY71" s="71" t="s">
        <v>137</v>
      </c>
      <c r="BA71" s="77">
        <f>AU71+AV71</f>
        <v>0</v>
      </c>
      <c r="BB71" s="77">
        <f>G71/(100-BC71)*100</f>
        <v>0</v>
      </c>
      <c r="BC71" s="77">
        <v>0</v>
      </c>
      <c r="BD71" s="77">
        <f>L71</f>
        <v>2.3782000000000001</v>
      </c>
      <c r="BF71" s="77">
        <f>F71*AM71</f>
        <v>0</v>
      </c>
      <c r="BG71" s="77">
        <f>F71*AN71</f>
        <v>0</v>
      </c>
      <c r="BH71" s="77">
        <f>F71*G71</f>
        <v>0</v>
      </c>
      <c r="BI71" s="77"/>
      <c r="BJ71" s="77">
        <v>56</v>
      </c>
      <c r="BU71" s="77" t="e">
        <f>#REF!</f>
        <v>#REF!</v>
      </c>
      <c r="BV71" s="70" t="s">
        <v>300</v>
      </c>
    </row>
    <row r="72" spans="1:74" ht="40.5" customHeight="1" x14ac:dyDescent="0.25">
      <c r="A72" s="104"/>
      <c r="B72" s="81" t="s">
        <v>138</v>
      </c>
      <c r="C72" s="303" t="s">
        <v>1196</v>
      </c>
      <c r="D72" s="304"/>
      <c r="E72" s="304"/>
      <c r="F72" s="304"/>
      <c r="G72" s="304"/>
      <c r="H72" s="304"/>
      <c r="I72" s="304"/>
      <c r="J72" s="304"/>
      <c r="K72" s="304"/>
      <c r="L72" s="304"/>
      <c r="M72" s="305"/>
    </row>
    <row r="73" spans="1:74" x14ac:dyDescent="0.25">
      <c r="A73" s="92" t="s">
        <v>253</v>
      </c>
      <c r="B73" s="69" t="s">
        <v>305</v>
      </c>
      <c r="C73" s="306" t="s">
        <v>306</v>
      </c>
      <c r="D73" s="307"/>
      <c r="E73" s="69" t="s">
        <v>166</v>
      </c>
      <c r="F73" s="77">
        <v>5.42</v>
      </c>
      <c r="G73" s="218">
        <v>0</v>
      </c>
      <c r="H73" s="77">
        <f>F73*AM73</f>
        <v>0</v>
      </c>
      <c r="I73" s="77">
        <f>F73*AN73</f>
        <v>0</v>
      </c>
      <c r="J73" s="77">
        <f>F73*G73</f>
        <v>0</v>
      </c>
      <c r="K73" s="77">
        <v>0.48574000000000001</v>
      </c>
      <c r="L73" s="77">
        <f>F73*K73</f>
        <v>2.6327107999999999</v>
      </c>
      <c r="M73" s="103" t="s">
        <v>35</v>
      </c>
      <c r="X73" s="77">
        <f>IF(AO73="5",BH73,0)</f>
        <v>0</v>
      </c>
      <c r="Z73" s="77">
        <f>IF(AO73="1",BF73,0)</f>
        <v>0</v>
      </c>
      <c r="AA73" s="77">
        <f>IF(AO73="1",BG73,0)</f>
        <v>0</v>
      </c>
      <c r="AB73" s="77">
        <f>IF(AO73="7",BF73,0)</f>
        <v>0</v>
      </c>
      <c r="AC73" s="77">
        <f>IF(AO73="7",BG73,0)</f>
        <v>0</v>
      </c>
      <c r="AD73" s="77">
        <f>IF(AO73="2",BF73,0)</f>
        <v>0</v>
      </c>
      <c r="AE73" s="77">
        <f>IF(AO73="2",BG73,0)</f>
        <v>0</v>
      </c>
      <c r="AF73" s="77">
        <f>IF(AO73="0",BH73,0)</f>
        <v>0</v>
      </c>
      <c r="AG73" s="71" t="s">
        <v>129</v>
      </c>
      <c r="AH73" s="77">
        <f>IF(AL73=0,J73,0)</f>
        <v>0</v>
      </c>
      <c r="AI73" s="77">
        <f>IF(AL73=15,J73,0)</f>
        <v>0</v>
      </c>
      <c r="AJ73" s="77">
        <f>IF(AL73=21,J73,0)</f>
        <v>0</v>
      </c>
      <c r="AL73" s="77">
        <v>15</v>
      </c>
      <c r="AM73" s="77">
        <f>G73*0.813426196</f>
        <v>0</v>
      </c>
      <c r="AN73" s="77">
        <f>G73*(1-0.813426196)</f>
        <v>0</v>
      </c>
      <c r="AO73" s="79" t="s">
        <v>132</v>
      </c>
      <c r="AT73" s="77">
        <f>AU73+AV73</f>
        <v>0</v>
      </c>
      <c r="AU73" s="77">
        <f>F73*AM73</f>
        <v>0</v>
      </c>
      <c r="AV73" s="77">
        <f>F73*AN73</f>
        <v>0</v>
      </c>
      <c r="AW73" s="79" t="s">
        <v>301</v>
      </c>
      <c r="AX73" s="79" t="s">
        <v>302</v>
      </c>
      <c r="AY73" s="71" t="s">
        <v>137</v>
      </c>
      <c r="BA73" s="77">
        <f>AU73+AV73</f>
        <v>0</v>
      </c>
      <c r="BB73" s="77">
        <f>G73/(100-BC73)*100</f>
        <v>0</v>
      </c>
      <c r="BC73" s="77">
        <v>0</v>
      </c>
      <c r="BD73" s="77">
        <f>L73</f>
        <v>2.6327107999999999</v>
      </c>
      <c r="BF73" s="77">
        <f>F73*AM73</f>
        <v>0</v>
      </c>
      <c r="BG73" s="77">
        <f>F73*AN73</f>
        <v>0</v>
      </c>
      <c r="BH73" s="77">
        <f>F73*G73</f>
        <v>0</v>
      </c>
      <c r="BI73" s="77"/>
      <c r="BJ73" s="77">
        <v>56</v>
      </c>
      <c r="BU73" s="77" t="e">
        <f>#REF!</f>
        <v>#REF!</v>
      </c>
      <c r="BV73" s="70" t="s">
        <v>306</v>
      </c>
    </row>
    <row r="74" spans="1:74" ht="40.5" customHeight="1" x14ac:dyDescent="0.25">
      <c r="A74" s="104"/>
      <c r="B74" s="81" t="s">
        <v>138</v>
      </c>
      <c r="C74" s="303" t="s">
        <v>1197</v>
      </c>
      <c r="D74" s="304"/>
      <c r="E74" s="304"/>
      <c r="F74" s="304"/>
      <c r="G74" s="304"/>
      <c r="H74" s="304"/>
      <c r="I74" s="304"/>
      <c r="J74" s="304"/>
      <c r="K74" s="304"/>
      <c r="L74" s="304"/>
      <c r="M74" s="305"/>
    </row>
    <row r="75" spans="1:74" x14ac:dyDescent="0.25">
      <c r="A75" s="92" t="s">
        <v>258</v>
      </c>
      <c r="B75" s="69" t="s">
        <v>305</v>
      </c>
      <c r="C75" s="306" t="s">
        <v>306</v>
      </c>
      <c r="D75" s="307"/>
      <c r="E75" s="69" t="s">
        <v>166</v>
      </c>
      <c r="F75" s="77">
        <v>5.42</v>
      </c>
      <c r="G75" s="218">
        <v>0</v>
      </c>
      <c r="H75" s="77">
        <f>F75*AM75</f>
        <v>0</v>
      </c>
      <c r="I75" s="77">
        <f>F75*AN75</f>
        <v>0</v>
      </c>
      <c r="J75" s="77">
        <f>F75*G75</f>
        <v>0</v>
      </c>
      <c r="K75" s="77">
        <v>0.48574000000000001</v>
      </c>
      <c r="L75" s="77">
        <f>F75*K75</f>
        <v>2.6327107999999999</v>
      </c>
      <c r="M75" s="103" t="s">
        <v>35</v>
      </c>
      <c r="X75" s="77">
        <f>IF(AO75="5",BH75,0)</f>
        <v>0</v>
      </c>
      <c r="Z75" s="77">
        <f>IF(AO75="1",BF75,0)</f>
        <v>0</v>
      </c>
      <c r="AA75" s="77">
        <f>IF(AO75="1",BG75,0)</f>
        <v>0</v>
      </c>
      <c r="AB75" s="77">
        <f>IF(AO75="7",BF75,0)</f>
        <v>0</v>
      </c>
      <c r="AC75" s="77">
        <f>IF(AO75="7",BG75,0)</f>
        <v>0</v>
      </c>
      <c r="AD75" s="77">
        <f>IF(AO75="2",BF75,0)</f>
        <v>0</v>
      </c>
      <c r="AE75" s="77">
        <f>IF(AO75="2",BG75,0)</f>
        <v>0</v>
      </c>
      <c r="AF75" s="77">
        <f>IF(AO75="0",BH75,0)</f>
        <v>0</v>
      </c>
      <c r="AG75" s="71" t="s">
        <v>129</v>
      </c>
      <c r="AH75" s="77">
        <f>IF(AL75=0,J75,0)</f>
        <v>0</v>
      </c>
      <c r="AI75" s="77">
        <f>IF(AL75=15,J75,0)</f>
        <v>0</v>
      </c>
      <c r="AJ75" s="77">
        <f>IF(AL75=21,J75,0)</f>
        <v>0</v>
      </c>
      <c r="AL75" s="77">
        <v>15</v>
      </c>
      <c r="AM75" s="77">
        <f>G75*0.813426196</f>
        <v>0</v>
      </c>
      <c r="AN75" s="77">
        <f>G75*(1-0.813426196)</f>
        <v>0</v>
      </c>
      <c r="AO75" s="79" t="s">
        <v>132</v>
      </c>
      <c r="AT75" s="77">
        <f>AU75+AV75</f>
        <v>0</v>
      </c>
      <c r="AU75" s="77">
        <f>F75*AM75</f>
        <v>0</v>
      </c>
      <c r="AV75" s="77">
        <f>F75*AN75</f>
        <v>0</v>
      </c>
      <c r="AW75" s="79" t="s">
        <v>301</v>
      </c>
      <c r="AX75" s="79" t="s">
        <v>302</v>
      </c>
      <c r="AY75" s="71" t="s">
        <v>137</v>
      </c>
      <c r="BA75" s="77">
        <f>AU75+AV75</f>
        <v>0</v>
      </c>
      <c r="BB75" s="77">
        <f>G75/(100-BC75)*100</f>
        <v>0</v>
      </c>
      <c r="BC75" s="77">
        <v>0</v>
      </c>
      <c r="BD75" s="77">
        <f>L75</f>
        <v>2.6327107999999999</v>
      </c>
      <c r="BF75" s="77">
        <f>F75*AM75</f>
        <v>0</v>
      </c>
      <c r="BG75" s="77">
        <f>F75*AN75</f>
        <v>0</v>
      </c>
      <c r="BH75" s="77">
        <f>F75*G75</f>
        <v>0</v>
      </c>
      <c r="BI75" s="77"/>
      <c r="BJ75" s="77">
        <v>56</v>
      </c>
      <c r="BU75" s="77" t="e">
        <f>#REF!</f>
        <v>#REF!</v>
      </c>
      <c r="BV75" s="70" t="s">
        <v>306</v>
      </c>
    </row>
    <row r="76" spans="1:74" ht="40.5" customHeight="1" x14ac:dyDescent="0.25">
      <c r="A76" s="104"/>
      <c r="B76" s="81" t="s">
        <v>138</v>
      </c>
      <c r="C76" s="303" t="s">
        <v>1197</v>
      </c>
      <c r="D76" s="304"/>
      <c r="E76" s="304"/>
      <c r="F76" s="304"/>
      <c r="G76" s="304"/>
      <c r="H76" s="304"/>
      <c r="I76" s="304"/>
      <c r="J76" s="304"/>
      <c r="K76" s="304"/>
      <c r="L76" s="304"/>
      <c r="M76" s="305"/>
    </row>
    <row r="77" spans="1:74" x14ac:dyDescent="0.25">
      <c r="A77" s="92" t="s">
        <v>263</v>
      </c>
      <c r="B77" s="69" t="s">
        <v>311</v>
      </c>
      <c r="C77" s="306" t="s">
        <v>312</v>
      </c>
      <c r="D77" s="307"/>
      <c r="E77" s="69" t="s">
        <v>166</v>
      </c>
      <c r="F77" s="77">
        <v>5.33</v>
      </c>
      <c r="G77" s="218">
        <v>0</v>
      </c>
      <c r="H77" s="77">
        <f>F77*AM77</f>
        <v>0</v>
      </c>
      <c r="I77" s="77">
        <f>F77*AN77</f>
        <v>0</v>
      </c>
      <c r="J77" s="77">
        <f>F77*G77</f>
        <v>0</v>
      </c>
      <c r="K77" s="77">
        <v>0.378</v>
      </c>
      <c r="L77" s="77">
        <f>F77*K77</f>
        <v>2.0147400000000002</v>
      </c>
      <c r="M77" s="103" t="s">
        <v>35</v>
      </c>
      <c r="X77" s="77">
        <f>IF(AO77="5",BH77,0)</f>
        <v>0</v>
      </c>
      <c r="Z77" s="77">
        <f>IF(AO77="1",BF77,0)</f>
        <v>0</v>
      </c>
      <c r="AA77" s="77">
        <f>IF(AO77="1",BG77,0)</f>
        <v>0</v>
      </c>
      <c r="AB77" s="77">
        <f>IF(AO77="7",BF77,0)</f>
        <v>0</v>
      </c>
      <c r="AC77" s="77">
        <f>IF(AO77="7",BG77,0)</f>
        <v>0</v>
      </c>
      <c r="AD77" s="77">
        <f>IF(AO77="2",BF77,0)</f>
        <v>0</v>
      </c>
      <c r="AE77" s="77">
        <f>IF(AO77="2",BG77,0)</f>
        <v>0</v>
      </c>
      <c r="AF77" s="77">
        <f>IF(AO77="0",BH77,0)</f>
        <v>0</v>
      </c>
      <c r="AG77" s="71" t="s">
        <v>129</v>
      </c>
      <c r="AH77" s="77">
        <f>IF(AL77=0,J77,0)</f>
        <v>0</v>
      </c>
      <c r="AI77" s="77">
        <f>IF(AL77=15,J77,0)</f>
        <v>0</v>
      </c>
      <c r="AJ77" s="77">
        <f>IF(AL77=21,J77,0)</f>
        <v>0</v>
      </c>
      <c r="AL77" s="77">
        <v>15</v>
      </c>
      <c r="AM77" s="77">
        <f>G77*0.826793885</f>
        <v>0</v>
      </c>
      <c r="AN77" s="77">
        <f>G77*(1-0.826793885)</f>
        <v>0</v>
      </c>
      <c r="AO77" s="79" t="s">
        <v>132</v>
      </c>
      <c r="AT77" s="77">
        <f>AU77+AV77</f>
        <v>0</v>
      </c>
      <c r="AU77" s="77">
        <f>F77*AM77</f>
        <v>0</v>
      </c>
      <c r="AV77" s="77">
        <f>F77*AN77</f>
        <v>0</v>
      </c>
      <c r="AW77" s="79" t="s">
        <v>301</v>
      </c>
      <c r="AX77" s="79" t="s">
        <v>302</v>
      </c>
      <c r="AY77" s="71" t="s">
        <v>137</v>
      </c>
      <c r="BA77" s="77">
        <f>AU77+AV77</f>
        <v>0</v>
      </c>
      <c r="BB77" s="77">
        <f>G77/(100-BC77)*100</f>
        <v>0</v>
      </c>
      <c r="BC77" s="77">
        <v>0</v>
      </c>
      <c r="BD77" s="77">
        <f>L77</f>
        <v>2.0147400000000002</v>
      </c>
      <c r="BF77" s="77">
        <f>F77*AM77</f>
        <v>0</v>
      </c>
      <c r="BG77" s="77">
        <f>F77*AN77</f>
        <v>0</v>
      </c>
      <c r="BH77" s="77">
        <f>F77*G77</f>
        <v>0</v>
      </c>
      <c r="BI77" s="77"/>
      <c r="BJ77" s="77">
        <v>56</v>
      </c>
      <c r="BU77" s="77" t="e">
        <f>#REF!</f>
        <v>#REF!</v>
      </c>
      <c r="BV77" s="70" t="s">
        <v>312</v>
      </c>
    </row>
    <row r="78" spans="1:74" ht="40.5" customHeight="1" x14ac:dyDescent="0.25">
      <c r="A78" s="104"/>
      <c r="B78" s="81" t="s">
        <v>138</v>
      </c>
      <c r="C78" s="303" t="s">
        <v>1198</v>
      </c>
      <c r="D78" s="304"/>
      <c r="E78" s="304"/>
      <c r="F78" s="304"/>
      <c r="G78" s="304"/>
      <c r="H78" s="304"/>
      <c r="I78" s="304"/>
      <c r="J78" s="304"/>
      <c r="K78" s="304"/>
      <c r="L78" s="304"/>
      <c r="M78" s="305"/>
    </row>
    <row r="79" spans="1:74" x14ac:dyDescent="0.25">
      <c r="A79" s="105" t="s">
        <v>129</v>
      </c>
      <c r="B79" s="74" t="s">
        <v>651</v>
      </c>
      <c r="C79" s="314" t="s">
        <v>935</v>
      </c>
      <c r="D79" s="315"/>
      <c r="E79" s="75" t="s">
        <v>87</v>
      </c>
      <c r="F79" s="75" t="s">
        <v>87</v>
      </c>
      <c r="G79" s="75" t="s">
        <v>87</v>
      </c>
      <c r="H79" s="67">
        <f>SUM(H80:H80)</f>
        <v>0</v>
      </c>
      <c r="I79" s="67">
        <f>SUM(I80:I80)</f>
        <v>0</v>
      </c>
      <c r="J79" s="67">
        <f>SUM(J80:J80)</f>
        <v>0</v>
      </c>
      <c r="K79" s="71" t="s">
        <v>129</v>
      </c>
      <c r="L79" s="67">
        <f>SUM(L80:L80)</f>
        <v>1.6237200000000001</v>
      </c>
      <c r="M79" s="106" t="s">
        <v>129</v>
      </c>
      <c r="AG79" s="71" t="s">
        <v>129</v>
      </c>
      <c r="AQ79" s="67">
        <f>SUM(AH80:AH80)</f>
        <v>0</v>
      </c>
      <c r="AR79" s="67">
        <f>SUM(AI80:AI80)</f>
        <v>0</v>
      </c>
      <c r="AS79" s="67">
        <f>SUM(AJ80:AJ80)</f>
        <v>0</v>
      </c>
    </row>
    <row r="80" spans="1:74" x14ac:dyDescent="0.25">
      <c r="A80" s="92" t="s">
        <v>268</v>
      </c>
      <c r="B80" s="69" t="s">
        <v>1135</v>
      </c>
      <c r="C80" s="306" t="s">
        <v>1136</v>
      </c>
      <c r="D80" s="307"/>
      <c r="E80" s="69" t="s">
        <v>145</v>
      </c>
      <c r="F80" s="77">
        <v>6</v>
      </c>
      <c r="G80" s="218">
        <v>0</v>
      </c>
      <c r="H80" s="77">
        <f>F80*AM80</f>
        <v>0</v>
      </c>
      <c r="I80" s="77">
        <f>F80*AN80</f>
        <v>0</v>
      </c>
      <c r="J80" s="77">
        <f>F80*G80</f>
        <v>0</v>
      </c>
      <c r="K80" s="77">
        <v>0.27062000000000003</v>
      </c>
      <c r="L80" s="77">
        <f>F80*K80</f>
        <v>1.6237200000000001</v>
      </c>
      <c r="M80" s="103" t="s">
        <v>35</v>
      </c>
      <c r="X80" s="77">
        <f>IF(AO80="5",BH80,0)</f>
        <v>0</v>
      </c>
      <c r="Z80" s="77">
        <f>IF(AO80="1",BF80,0)</f>
        <v>0</v>
      </c>
      <c r="AA80" s="77">
        <f>IF(AO80="1",BG80,0)</f>
        <v>0</v>
      </c>
      <c r="AB80" s="77">
        <f>IF(AO80="7",BF80,0)</f>
        <v>0</v>
      </c>
      <c r="AC80" s="77">
        <f>IF(AO80="7",BG80,0)</f>
        <v>0</v>
      </c>
      <c r="AD80" s="77">
        <f>IF(AO80="2",BF80,0)</f>
        <v>0</v>
      </c>
      <c r="AE80" s="77">
        <f>IF(AO80="2",BG80,0)</f>
        <v>0</v>
      </c>
      <c r="AF80" s="77">
        <f>IF(AO80="0",BH80,0)</f>
        <v>0</v>
      </c>
      <c r="AG80" s="71" t="s">
        <v>129</v>
      </c>
      <c r="AH80" s="77">
        <f>IF(AL80=0,J80,0)</f>
        <v>0</v>
      </c>
      <c r="AI80" s="77">
        <f>IF(AL80=15,J80,0)</f>
        <v>0</v>
      </c>
      <c r="AJ80" s="77">
        <f>IF(AL80=21,J80,0)</f>
        <v>0</v>
      </c>
      <c r="AL80" s="77">
        <v>15</v>
      </c>
      <c r="AM80" s="77">
        <f>G80*0.407317958</f>
        <v>0</v>
      </c>
      <c r="AN80" s="77">
        <f>G80*(1-0.407317958)</f>
        <v>0</v>
      </c>
      <c r="AO80" s="79" t="s">
        <v>132</v>
      </c>
      <c r="AT80" s="77">
        <f>AU80+AV80</f>
        <v>0</v>
      </c>
      <c r="AU80" s="77">
        <f>F80*AM80</f>
        <v>0</v>
      </c>
      <c r="AV80" s="77">
        <f>F80*AN80</f>
        <v>0</v>
      </c>
      <c r="AW80" s="79" t="s">
        <v>938</v>
      </c>
      <c r="AX80" s="79" t="s">
        <v>320</v>
      </c>
      <c r="AY80" s="71" t="s">
        <v>137</v>
      </c>
      <c r="BA80" s="77">
        <f>AU80+AV80</f>
        <v>0</v>
      </c>
      <c r="BB80" s="77">
        <f>G80/(100-BC80)*100</f>
        <v>0</v>
      </c>
      <c r="BC80" s="77">
        <v>0</v>
      </c>
      <c r="BD80" s="77">
        <f>L80</f>
        <v>1.6237200000000001</v>
      </c>
      <c r="BF80" s="77">
        <f>F80*AM80</f>
        <v>0</v>
      </c>
      <c r="BG80" s="77">
        <f>F80*AN80</f>
        <v>0</v>
      </c>
      <c r="BH80" s="77">
        <f>F80*G80</f>
        <v>0</v>
      </c>
      <c r="BI80" s="77"/>
      <c r="BJ80" s="77">
        <v>83</v>
      </c>
      <c r="BU80" s="77" t="e">
        <f>#REF!</f>
        <v>#REF!</v>
      </c>
      <c r="BV80" s="70" t="s">
        <v>1136</v>
      </c>
    </row>
    <row r="81" spans="1:74" ht="121.5" customHeight="1" thickBot="1" x14ac:dyDescent="0.3">
      <c r="A81" s="107"/>
      <c r="B81" s="108" t="s">
        <v>138</v>
      </c>
      <c r="C81" s="308" t="s">
        <v>1199</v>
      </c>
      <c r="D81" s="309"/>
      <c r="E81" s="309"/>
      <c r="F81" s="309"/>
      <c r="G81" s="309"/>
      <c r="H81" s="309"/>
      <c r="I81" s="309"/>
      <c r="J81" s="309"/>
      <c r="K81" s="309"/>
      <c r="L81" s="309"/>
      <c r="M81" s="310"/>
    </row>
    <row r="82" spans="1:74" x14ac:dyDescent="0.25">
      <c r="A82" s="97" t="s">
        <v>129</v>
      </c>
      <c r="B82" s="98" t="s">
        <v>335</v>
      </c>
      <c r="C82" s="318" t="s">
        <v>336</v>
      </c>
      <c r="D82" s="319"/>
      <c r="E82" s="99" t="s">
        <v>87</v>
      </c>
      <c r="F82" s="99" t="s">
        <v>87</v>
      </c>
      <c r="G82" s="99" t="s">
        <v>87</v>
      </c>
      <c r="H82" s="100">
        <f>SUM(H83:H85)</f>
        <v>0</v>
      </c>
      <c r="I82" s="100">
        <f>SUM(I83:I85)</f>
        <v>0</v>
      </c>
      <c r="J82" s="100">
        <f>SUM(J83:J85)</f>
        <v>0</v>
      </c>
      <c r="K82" s="101" t="s">
        <v>129</v>
      </c>
      <c r="L82" s="100">
        <f>SUM(L83:L85)</f>
        <v>5.5200000000000008E-4</v>
      </c>
      <c r="M82" s="102" t="s">
        <v>129</v>
      </c>
      <c r="AG82" s="71" t="s">
        <v>129</v>
      </c>
      <c r="AQ82" s="67">
        <f>SUM(AH83:AH85)</f>
        <v>0</v>
      </c>
      <c r="AR82" s="67">
        <f>SUM(AI83:AI85)</f>
        <v>0</v>
      </c>
      <c r="AS82" s="67">
        <f>SUM(AJ83:AJ85)</f>
        <v>0</v>
      </c>
    </row>
    <row r="83" spans="1:74" x14ac:dyDescent="0.25">
      <c r="A83" s="92" t="s">
        <v>274</v>
      </c>
      <c r="B83" s="69" t="s">
        <v>375</v>
      </c>
      <c r="C83" s="306" t="s">
        <v>376</v>
      </c>
      <c r="D83" s="307"/>
      <c r="E83" s="69" t="s">
        <v>145</v>
      </c>
      <c r="F83" s="77">
        <v>6.6</v>
      </c>
      <c r="G83" s="218">
        <v>0</v>
      </c>
      <c r="H83" s="77">
        <f>F83*AM83</f>
        <v>0</v>
      </c>
      <c r="I83" s="77">
        <f>F83*AN83</f>
        <v>0</v>
      </c>
      <c r="J83" s="77">
        <f>F83*G83</f>
        <v>0</v>
      </c>
      <c r="K83" s="77">
        <v>0</v>
      </c>
      <c r="L83" s="77">
        <f>F83*K83</f>
        <v>0</v>
      </c>
      <c r="M83" s="103" t="s">
        <v>35</v>
      </c>
      <c r="X83" s="77">
        <f>IF(AO83="5",BH83,0)</f>
        <v>0</v>
      </c>
      <c r="Z83" s="77">
        <f>IF(AO83="1",BF83,0)</f>
        <v>0</v>
      </c>
      <c r="AA83" s="77">
        <f>IF(AO83="1",BG83,0)</f>
        <v>0</v>
      </c>
      <c r="AB83" s="77">
        <f>IF(AO83="7",BF83,0)</f>
        <v>0</v>
      </c>
      <c r="AC83" s="77">
        <f>IF(AO83="7",BG83,0)</f>
        <v>0</v>
      </c>
      <c r="AD83" s="77">
        <f>IF(AO83="2",BF83,0)</f>
        <v>0</v>
      </c>
      <c r="AE83" s="77">
        <f>IF(AO83="2",BG83,0)</f>
        <v>0</v>
      </c>
      <c r="AF83" s="77">
        <f>IF(AO83="0",BH83,0)</f>
        <v>0</v>
      </c>
      <c r="AG83" s="71" t="s">
        <v>129</v>
      </c>
      <c r="AH83" s="77">
        <f>IF(AL83=0,J83,0)</f>
        <v>0</v>
      </c>
      <c r="AI83" s="77">
        <f>IF(AL83=15,J83,0)</f>
        <v>0</v>
      </c>
      <c r="AJ83" s="77">
        <f>IF(AL83=21,J83,0)</f>
        <v>0</v>
      </c>
      <c r="AL83" s="77">
        <v>15</v>
      </c>
      <c r="AM83" s="77">
        <f>G83*0.352805995</f>
        <v>0</v>
      </c>
      <c r="AN83" s="77">
        <f>G83*(1-0.352805995)</f>
        <v>0</v>
      </c>
      <c r="AO83" s="79" t="s">
        <v>132</v>
      </c>
      <c r="AT83" s="77">
        <f>AU83+AV83</f>
        <v>0</v>
      </c>
      <c r="AU83" s="77">
        <f>F83*AM83</f>
        <v>0</v>
      </c>
      <c r="AV83" s="77">
        <f>F83*AN83</f>
        <v>0</v>
      </c>
      <c r="AW83" s="79" t="s">
        <v>340</v>
      </c>
      <c r="AX83" s="79" t="s">
        <v>320</v>
      </c>
      <c r="AY83" s="71" t="s">
        <v>137</v>
      </c>
      <c r="BA83" s="77">
        <f>AU83+AV83</f>
        <v>0</v>
      </c>
      <c r="BB83" s="77">
        <f>G83/(100-BC83)*100</f>
        <v>0</v>
      </c>
      <c r="BC83" s="77">
        <v>0</v>
      </c>
      <c r="BD83" s="77">
        <f>L83</f>
        <v>0</v>
      </c>
      <c r="BF83" s="77">
        <f>F83*AM83</f>
        <v>0</v>
      </c>
      <c r="BG83" s="77">
        <f>F83*AN83</f>
        <v>0</v>
      </c>
      <c r="BH83" s="77">
        <f>F83*G83</f>
        <v>0</v>
      </c>
      <c r="BI83" s="77"/>
      <c r="BJ83" s="77">
        <v>89</v>
      </c>
      <c r="BU83" s="77" t="e">
        <f>#REF!</f>
        <v>#REF!</v>
      </c>
      <c r="BV83" s="70" t="s">
        <v>376</v>
      </c>
    </row>
    <row r="84" spans="1:74" ht="40.5" customHeight="1" x14ac:dyDescent="0.25">
      <c r="A84" s="104"/>
      <c r="B84" s="81" t="s">
        <v>138</v>
      </c>
      <c r="C84" s="303" t="s">
        <v>1200</v>
      </c>
      <c r="D84" s="304"/>
      <c r="E84" s="304"/>
      <c r="F84" s="304"/>
      <c r="G84" s="304"/>
      <c r="H84" s="304"/>
      <c r="I84" s="304"/>
      <c r="J84" s="304"/>
      <c r="K84" s="304"/>
      <c r="L84" s="304"/>
      <c r="M84" s="305"/>
    </row>
    <row r="85" spans="1:74" x14ac:dyDescent="0.25">
      <c r="A85" s="92" t="s">
        <v>278</v>
      </c>
      <c r="B85" s="69" t="s">
        <v>1108</v>
      </c>
      <c r="C85" s="306" t="s">
        <v>1109</v>
      </c>
      <c r="D85" s="307"/>
      <c r="E85" s="69" t="s">
        <v>145</v>
      </c>
      <c r="F85" s="77">
        <v>6.9</v>
      </c>
      <c r="G85" s="218">
        <v>0</v>
      </c>
      <c r="H85" s="77">
        <f>F85*AM85</f>
        <v>0</v>
      </c>
      <c r="I85" s="77">
        <f>F85*AN85</f>
        <v>0</v>
      </c>
      <c r="J85" s="77">
        <f>F85*G85</f>
        <v>0</v>
      </c>
      <c r="K85" s="77">
        <v>8.0000000000000007E-5</v>
      </c>
      <c r="L85" s="77">
        <f>F85*K85</f>
        <v>5.5200000000000008E-4</v>
      </c>
      <c r="M85" s="103" t="s">
        <v>35</v>
      </c>
      <c r="X85" s="77">
        <f>IF(AO85="5",BH85,0)</f>
        <v>0</v>
      </c>
      <c r="Z85" s="77">
        <f>IF(AO85="1",BF85,0)</f>
        <v>0</v>
      </c>
      <c r="AA85" s="77">
        <f>IF(AO85="1",BG85,0)</f>
        <v>0</v>
      </c>
      <c r="AB85" s="77">
        <f>IF(AO85="7",BF85,0)</f>
        <v>0</v>
      </c>
      <c r="AC85" s="77">
        <f>IF(AO85="7",BG85,0)</f>
        <v>0</v>
      </c>
      <c r="AD85" s="77">
        <f>IF(AO85="2",BF85,0)</f>
        <v>0</v>
      </c>
      <c r="AE85" s="77">
        <f>IF(AO85="2",BG85,0)</f>
        <v>0</v>
      </c>
      <c r="AF85" s="77">
        <f>IF(AO85="0",BH85,0)</f>
        <v>0</v>
      </c>
      <c r="AG85" s="71" t="s">
        <v>129</v>
      </c>
      <c r="AH85" s="77">
        <f>IF(AL85=0,J85,0)</f>
        <v>0</v>
      </c>
      <c r="AI85" s="77">
        <f>IF(AL85=15,J85,0)</f>
        <v>0</v>
      </c>
      <c r="AJ85" s="77">
        <f>IF(AL85=21,J85,0)</f>
        <v>0</v>
      </c>
      <c r="AL85" s="77">
        <v>15</v>
      </c>
      <c r="AM85" s="77">
        <f>G85*0.585438255</f>
        <v>0</v>
      </c>
      <c r="AN85" s="77">
        <f>G85*(1-0.585438255)</f>
        <v>0</v>
      </c>
      <c r="AO85" s="79" t="s">
        <v>132</v>
      </c>
      <c r="AT85" s="77">
        <f>AU85+AV85</f>
        <v>0</v>
      </c>
      <c r="AU85" s="77">
        <f>F85*AM85</f>
        <v>0</v>
      </c>
      <c r="AV85" s="77">
        <f>F85*AN85</f>
        <v>0</v>
      </c>
      <c r="AW85" s="79" t="s">
        <v>340</v>
      </c>
      <c r="AX85" s="79" t="s">
        <v>320</v>
      </c>
      <c r="AY85" s="71" t="s">
        <v>137</v>
      </c>
      <c r="BA85" s="77">
        <f>AU85+AV85</f>
        <v>0</v>
      </c>
      <c r="BB85" s="77">
        <f>G85/(100-BC85)*100</f>
        <v>0</v>
      </c>
      <c r="BC85" s="77">
        <v>0</v>
      </c>
      <c r="BD85" s="77">
        <f>L85</f>
        <v>5.5200000000000008E-4</v>
      </c>
      <c r="BF85" s="77">
        <f>F85*AM85</f>
        <v>0</v>
      </c>
      <c r="BG85" s="77">
        <f>F85*AN85</f>
        <v>0</v>
      </c>
      <c r="BH85" s="77">
        <f>F85*G85</f>
        <v>0</v>
      </c>
      <c r="BI85" s="77"/>
      <c r="BJ85" s="77">
        <v>89</v>
      </c>
      <c r="BU85" s="77" t="e">
        <f>#REF!</f>
        <v>#REF!</v>
      </c>
      <c r="BV85" s="70" t="s">
        <v>1109</v>
      </c>
    </row>
    <row r="86" spans="1:74" ht="40.5" customHeight="1" x14ac:dyDescent="0.25">
      <c r="A86" s="104"/>
      <c r="B86" s="81" t="s">
        <v>138</v>
      </c>
      <c r="C86" s="303" t="s">
        <v>1201</v>
      </c>
      <c r="D86" s="304"/>
      <c r="E86" s="304"/>
      <c r="F86" s="304"/>
      <c r="G86" s="304"/>
      <c r="H86" s="304"/>
      <c r="I86" s="304"/>
      <c r="J86" s="304"/>
      <c r="K86" s="304"/>
      <c r="L86" s="304"/>
      <c r="M86" s="305"/>
    </row>
    <row r="87" spans="1:74" x14ac:dyDescent="0.25">
      <c r="A87" s="105" t="s">
        <v>129</v>
      </c>
      <c r="B87" s="74" t="s">
        <v>378</v>
      </c>
      <c r="C87" s="314" t="s">
        <v>379</v>
      </c>
      <c r="D87" s="315"/>
      <c r="E87" s="75" t="s">
        <v>87</v>
      </c>
      <c r="F87" s="75" t="s">
        <v>87</v>
      </c>
      <c r="G87" s="75" t="s">
        <v>87</v>
      </c>
      <c r="H87" s="67">
        <f>SUM(H88:H88)</f>
        <v>0</v>
      </c>
      <c r="I87" s="67">
        <f>SUM(I88:I88)</f>
        <v>0</v>
      </c>
      <c r="J87" s="67">
        <f>SUM(J88:J88)</f>
        <v>0</v>
      </c>
      <c r="K87" s="71" t="s">
        <v>129</v>
      </c>
      <c r="L87" s="67">
        <f>SUM(L88:L88)</f>
        <v>0</v>
      </c>
      <c r="M87" s="106" t="s">
        <v>129</v>
      </c>
      <c r="AG87" s="71" t="s">
        <v>129</v>
      </c>
      <c r="AQ87" s="67">
        <f>SUM(AH88:AH88)</f>
        <v>0</v>
      </c>
      <c r="AR87" s="67">
        <f>SUM(AI88:AI88)</f>
        <v>0</v>
      </c>
      <c r="AS87" s="67">
        <f>SUM(AJ88:AJ88)</f>
        <v>0</v>
      </c>
    </row>
    <row r="88" spans="1:74" x14ac:dyDescent="0.25">
      <c r="A88" s="92" t="s">
        <v>283</v>
      </c>
      <c r="B88" s="69" t="s">
        <v>381</v>
      </c>
      <c r="C88" s="306" t="s">
        <v>382</v>
      </c>
      <c r="D88" s="307"/>
      <c r="E88" s="69" t="s">
        <v>281</v>
      </c>
      <c r="F88" s="77">
        <v>3.78</v>
      </c>
      <c r="G88" s="218">
        <v>0</v>
      </c>
      <c r="H88" s="77">
        <f>F88*AM88</f>
        <v>0</v>
      </c>
      <c r="I88" s="77">
        <f>F88*AN88</f>
        <v>0</v>
      </c>
      <c r="J88" s="77">
        <f>F88*G88</f>
        <v>0</v>
      </c>
      <c r="K88" s="77">
        <v>0</v>
      </c>
      <c r="L88" s="77">
        <f>F88*K88</f>
        <v>0</v>
      </c>
      <c r="M88" s="103" t="s">
        <v>35</v>
      </c>
      <c r="X88" s="77">
        <f>IF(AO88="5",BH88,0)</f>
        <v>0</v>
      </c>
      <c r="Z88" s="77">
        <f>IF(AO88="1",BF88,0)</f>
        <v>0</v>
      </c>
      <c r="AA88" s="77">
        <f>IF(AO88="1",BG88,0)</f>
        <v>0</v>
      </c>
      <c r="AB88" s="77">
        <f>IF(AO88="7",BF88,0)</f>
        <v>0</v>
      </c>
      <c r="AC88" s="77">
        <f>IF(AO88="7",BG88,0)</f>
        <v>0</v>
      </c>
      <c r="AD88" s="77">
        <f>IF(AO88="2",BF88,0)</f>
        <v>0</v>
      </c>
      <c r="AE88" s="77">
        <f>IF(AO88="2",BG88,0)</f>
        <v>0</v>
      </c>
      <c r="AF88" s="77">
        <f>IF(AO88="0",BH88,0)</f>
        <v>0</v>
      </c>
      <c r="AG88" s="71" t="s">
        <v>129</v>
      </c>
      <c r="AH88" s="77">
        <f>IF(AL88=0,J88,0)</f>
        <v>0</v>
      </c>
      <c r="AI88" s="77">
        <f>IF(AL88=15,J88,0)</f>
        <v>0</v>
      </c>
      <c r="AJ88" s="77">
        <f>IF(AL88=21,J88,0)</f>
        <v>0</v>
      </c>
      <c r="AL88" s="77">
        <v>15</v>
      </c>
      <c r="AM88" s="77">
        <f>G88*0</f>
        <v>0</v>
      </c>
      <c r="AN88" s="77">
        <f>G88*(1-0)</f>
        <v>0</v>
      </c>
      <c r="AO88" s="79" t="s">
        <v>132</v>
      </c>
      <c r="AT88" s="77">
        <f>AU88+AV88</f>
        <v>0</v>
      </c>
      <c r="AU88" s="77">
        <f>F88*AM88</f>
        <v>0</v>
      </c>
      <c r="AV88" s="77">
        <f>F88*AN88</f>
        <v>0</v>
      </c>
      <c r="AW88" s="79" t="s">
        <v>383</v>
      </c>
      <c r="AX88" s="79" t="s">
        <v>384</v>
      </c>
      <c r="AY88" s="71" t="s">
        <v>137</v>
      </c>
      <c r="BA88" s="77">
        <f>AU88+AV88</f>
        <v>0</v>
      </c>
      <c r="BB88" s="77">
        <f>G88/(100-BC88)*100</f>
        <v>0</v>
      </c>
      <c r="BC88" s="77">
        <v>0</v>
      </c>
      <c r="BD88" s="77">
        <f>L88</f>
        <v>0</v>
      </c>
      <c r="BF88" s="77">
        <f>F88*AM88</f>
        <v>0</v>
      </c>
      <c r="BG88" s="77">
        <f>F88*AN88</f>
        <v>0</v>
      </c>
      <c r="BH88" s="77">
        <f>F88*G88</f>
        <v>0</v>
      </c>
      <c r="BI88" s="77"/>
      <c r="BJ88" s="77">
        <v>97</v>
      </c>
      <c r="BU88" s="77" t="e">
        <f>#REF!</f>
        <v>#REF!</v>
      </c>
      <c r="BV88" s="70" t="s">
        <v>382</v>
      </c>
    </row>
    <row r="89" spans="1:74" ht="27" customHeight="1" x14ac:dyDescent="0.25">
      <c r="A89" s="104"/>
      <c r="B89" s="81" t="s">
        <v>138</v>
      </c>
      <c r="C89" s="303" t="s">
        <v>1202</v>
      </c>
      <c r="D89" s="304"/>
      <c r="E89" s="304"/>
      <c r="F89" s="304"/>
      <c r="G89" s="304"/>
      <c r="H89" s="304"/>
      <c r="I89" s="304"/>
      <c r="J89" s="304"/>
      <c r="K89" s="304"/>
      <c r="L89" s="304"/>
      <c r="M89" s="305"/>
    </row>
    <row r="90" spans="1:74" x14ac:dyDescent="0.25">
      <c r="A90" s="105" t="s">
        <v>129</v>
      </c>
      <c r="B90" s="74" t="s">
        <v>386</v>
      </c>
      <c r="C90" s="314" t="s">
        <v>387</v>
      </c>
      <c r="D90" s="315"/>
      <c r="E90" s="75" t="s">
        <v>87</v>
      </c>
      <c r="F90" s="75" t="s">
        <v>87</v>
      </c>
      <c r="G90" s="75" t="s">
        <v>87</v>
      </c>
      <c r="H90" s="67">
        <f>SUM(H91:H96)</f>
        <v>0</v>
      </c>
      <c r="I90" s="67">
        <f>SUM(I91:I96)</f>
        <v>0</v>
      </c>
      <c r="J90" s="67">
        <f>SUM(J91:J96)</f>
        <v>0</v>
      </c>
      <c r="K90" s="71" t="s">
        <v>129</v>
      </c>
      <c r="L90" s="67">
        <f>SUM(L91:L96)</f>
        <v>0</v>
      </c>
      <c r="M90" s="106" t="s">
        <v>129</v>
      </c>
      <c r="AG90" s="71" t="s">
        <v>129</v>
      </c>
      <c r="AQ90" s="67">
        <f>SUM(AH91:AH96)</f>
        <v>0</v>
      </c>
      <c r="AR90" s="67">
        <f>SUM(AI91:AI96)</f>
        <v>0</v>
      </c>
      <c r="AS90" s="67">
        <f>SUM(AJ91:AJ96)</f>
        <v>0</v>
      </c>
    </row>
    <row r="91" spans="1:74" x14ac:dyDescent="0.25">
      <c r="A91" s="92" t="s">
        <v>290</v>
      </c>
      <c r="B91" s="69" t="s">
        <v>389</v>
      </c>
      <c r="C91" s="306" t="s">
        <v>390</v>
      </c>
      <c r="D91" s="307"/>
      <c r="E91" s="69" t="s">
        <v>281</v>
      </c>
      <c r="F91" s="77">
        <v>5.04</v>
      </c>
      <c r="G91" s="218">
        <v>0</v>
      </c>
      <c r="H91" s="77">
        <f>F91*AM91</f>
        <v>0</v>
      </c>
      <c r="I91" s="77">
        <f>F91*AN91</f>
        <v>0</v>
      </c>
      <c r="J91" s="77">
        <f>F91*G91</f>
        <v>0</v>
      </c>
      <c r="K91" s="77">
        <v>0</v>
      </c>
      <c r="L91" s="77">
        <f>F91*K91</f>
        <v>0</v>
      </c>
      <c r="M91" s="103" t="s">
        <v>35</v>
      </c>
      <c r="X91" s="77">
        <f>IF(AO91="5",BH91,0)</f>
        <v>0</v>
      </c>
      <c r="Z91" s="77">
        <f>IF(AO91="1",BF91,0)</f>
        <v>0</v>
      </c>
      <c r="AA91" s="77">
        <f>IF(AO91="1",BG91,0)</f>
        <v>0</v>
      </c>
      <c r="AB91" s="77">
        <f>IF(AO91="7",BF91,0)</f>
        <v>0</v>
      </c>
      <c r="AC91" s="77">
        <f>IF(AO91="7",BG91,0)</f>
        <v>0</v>
      </c>
      <c r="AD91" s="77">
        <f>IF(AO91="2",BF91,0)</f>
        <v>0</v>
      </c>
      <c r="AE91" s="77">
        <f>IF(AO91="2",BG91,0)</f>
        <v>0</v>
      </c>
      <c r="AF91" s="77">
        <f>IF(AO91="0",BH91,0)</f>
        <v>0</v>
      </c>
      <c r="AG91" s="71" t="s">
        <v>129</v>
      </c>
      <c r="AH91" s="77">
        <f>IF(AL91=0,J91,0)</f>
        <v>0</v>
      </c>
      <c r="AI91" s="77">
        <f>IF(AL91=15,J91,0)</f>
        <v>0</v>
      </c>
      <c r="AJ91" s="77">
        <f>IF(AL91=21,J91,0)</f>
        <v>0</v>
      </c>
      <c r="AL91" s="77">
        <v>15</v>
      </c>
      <c r="AM91" s="77">
        <f>G91*0</f>
        <v>0</v>
      </c>
      <c r="AN91" s="77">
        <f>G91*(1-0)</f>
        <v>0</v>
      </c>
      <c r="AO91" s="79" t="s">
        <v>158</v>
      </c>
      <c r="AT91" s="77">
        <f>AU91+AV91</f>
        <v>0</v>
      </c>
      <c r="AU91" s="77">
        <f>F91*AM91</f>
        <v>0</v>
      </c>
      <c r="AV91" s="77">
        <f>F91*AN91</f>
        <v>0</v>
      </c>
      <c r="AW91" s="79" t="s">
        <v>391</v>
      </c>
      <c r="AX91" s="79" t="s">
        <v>384</v>
      </c>
      <c r="AY91" s="71" t="s">
        <v>137</v>
      </c>
      <c r="BA91" s="77">
        <f>AU91+AV91</f>
        <v>0</v>
      </c>
      <c r="BB91" s="77">
        <f>G91/(100-BC91)*100</f>
        <v>0</v>
      </c>
      <c r="BC91" s="77">
        <v>0</v>
      </c>
      <c r="BD91" s="77">
        <f>L91</f>
        <v>0</v>
      </c>
      <c r="BF91" s="77">
        <f>F91*AM91</f>
        <v>0</v>
      </c>
      <c r="BG91" s="77">
        <f>F91*AN91</f>
        <v>0</v>
      </c>
      <c r="BH91" s="77">
        <f>F91*G91</f>
        <v>0</v>
      </c>
      <c r="BI91" s="77"/>
      <c r="BJ91" s="77"/>
      <c r="BU91" s="77" t="e">
        <f>#REF!</f>
        <v>#REF!</v>
      </c>
      <c r="BV91" s="70" t="s">
        <v>390</v>
      </c>
    </row>
    <row r="92" spans="1:74" x14ac:dyDescent="0.25">
      <c r="A92" s="92" t="s">
        <v>298</v>
      </c>
      <c r="B92" s="69" t="s">
        <v>393</v>
      </c>
      <c r="C92" s="306" t="s">
        <v>394</v>
      </c>
      <c r="D92" s="307"/>
      <c r="E92" s="69" t="s">
        <v>281</v>
      </c>
      <c r="F92" s="77">
        <v>18.899999999999999</v>
      </c>
      <c r="G92" s="218">
        <v>0</v>
      </c>
      <c r="H92" s="77">
        <f>F92*AM92</f>
        <v>0</v>
      </c>
      <c r="I92" s="77">
        <f>F92*AN92</f>
        <v>0</v>
      </c>
      <c r="J92" s="77">
        <f>F92*G92</f>
        <v>0</v>
      </c>
      <c r="K92" s="77">
        <v>0</v>
      </c>
      <c r="L92" s="77">
        <f>F92*K92</f>
        <v>0</v>
      </c>
      <c r="M92" s="103" t="s">
        <v>35</v>
      </c>
      <c r="X92" s="77">
        <f>IF(AO92="5",BH92,0)</f>
        <v>0</v>
      </c>
      <c r="Z92" s="77">
        <f>IF(AO92="1",BF92,0)</f>
        <v>0</v>
      </c>
      <c r="AA92" s="77">
        <f>IF(AO92="1",BG92,0)</f>
        <v>0</v>
      </c>
      <c r="AB92" s="77">
        <f>IF(AO92="7",BF92,0)</f>
        <v>0</v>
      </c>
      <c r="AC92" s="77">
        <f>IF(AO92="7",BG92,0)</f>
        <v>0</v>
      </c>
      <c r="AD92" s="77">
        <f>IF(AO92="2",BF92,0)</f>
        <v>0</v>
      </c>
      <c r="AE92" s="77">
        <f>IF(AO92="2",BG92,0)</f>
        <v>0</v>
      </c>
      <c r="AF92" s="77">
        <f>IF(AO92="0",BH92,0)</f>
        <v>0</v>
      </c>
      <c r="AG92" s="71" t="s">
        <v>129</v>
      </c>
      <c r="AH92" s="77">
        <f>IF(AL92=0,J92,0)</f>
        <v>0</v>
      </c>
      <c r="AI92" s="77">
        <f>IF(AL92=15,J92,0)</f>
        <v>0</v>
      </c>
      <c r="AJ92" s="77">
        <f>IF(AL92=21,J92,0)</f>
        <v>0</v>
      </c>
      <c r="AL92" s="77">
        <v>15</v>
      </c>
      <c r="AM92" s="77">
        <f>G92*0</f>
        <v>0</v>
      </c>
      <c r="AN92" s="77">
        <f>G92*(1-0)</f>
        <v>0</v>
      </c>
      <c r="AO92" s="79" t="s">
        <v>158</v>
      </c>
      <c r="AT92" s="77">
        <f>AU92+AV92</f>
        <v>0</v>
      </c>
      <c r="AU92" s="77">
        <f>F92*AM92</f>
        <v>0</v>
      </c>
      <c r="AV92" s="77">
        <f>F92*AN92</f>
        <v>0</v>
      </c>
      <c r="AW92" s="79" t="s">
        <v>391</v>
      </c>
      <c r="AX92" s="79" t="s">
        <v>384</v>
      </c>
      <c r="AY92" s="71" t="s">
        <v>137</v>
      </c>
      <c r="BA92" s="77">
        <f>AU92+AV92</f>
        <v>0</v>
      </c>
      <c r="BB92" s="77">
        <f>G92/(100-BC92)*100</f>
        <v>0</v>
      </c>
      <c r="BC92" s="77">
        <v>0</v>
      </c>
      <c r="BD92" s="77">
        <f>L92</f>
        <v>0</v>
      </c>
      <c r="BF92" s="77">
        <f>F92*AM92</f>
        <v>0</v>
      </c>
      <c r="BG92" s="77">
        <f>F92*AN92</f>
        <v>0</v>
      </c>
      <c r="BH92" s="77">
        <f>F92*G92</f>
        <v>0</v>
      </c>
      <c r="BI92" s="77"/>
      <c r="BJ92" s="77"/>
      <c r="BU92" s="77" t="e">
        <f>#REF!</f>
        <v>#REF!</v>
      </c>
      <c r="BV92" s="70" t="s">
        <v>394</v>
      </c>
    </row>
    <row r="93" spans="1:74" ht="40.5" customHeight="1" x14ac:dyDescent="0.25">
      <c r="A93" s="104"/>
      <c r="B93" s="81" t="s">
        <v>138</v>
      </c>
      <c r="C93" s="303" t="s">
        <v>1203</v>
      </c>
      <c r="D93" s="304"/>
      <c r="E93" s="304"/>
      <c r="F93" s="304"/>
      <c r="G93" s="304"/>
      <c r="H93" s="304"/>
      <c r="I93" s="304"/>
      <c r="J93" s="304"/>
      <c r="K93" s="304"/>
      <c r="L93" s="304"/>
      <c r="M93" s="305"/>
    </row>
    <row r="94" spans="1:74" x14ac:dyDescent="0.25">
      <c r="A94" s="92" t="s">
        <v>304</v>
      </c>
      <c r="B94" s="69" t="s">
        <v>798</v>
      </c>
      <c r="C94" s="306" t="s">
        <v>799</v>
      </c>
      <c r="D94" s="307"/>
      <c r="E94" s="69" t="s">
        <v>281</v>
      </c>
      <c r="F94" s="77">
        <v>6.3</v>
      </c>
      <c r="G94" s="218">
        <v>0</v>
      </c>
      <c r="H94" s="77">
        <f>F94*AM94</f>
        <v>0</v>
      </c>
      <c r="I94" s="77">
        <f>F94*AN94</f>
        <v>0</v>
      </c>
      <c r="J94" s="77">
        <f>F94*G94</f>
        <v>0</v>
      </c>
      <c r="K94" s="77">
        <v>0</v>
      </c>
      <c r="L94" s="77">
        <f>F94*K94</f>
        <v>0</v>
      </c>
      <c r="M94" s="103" t="s">
        <v>35</v>
      </c>
      <c r="X94" s="77">
        <f>IF(AO94="5",BH94,0)</f>
        <v>0</v>
      </c>
      <c r="Z94" s="77">
        <f>IF(AO94="1",BF94,0)</f>
        <v>0</v>
      </c>
      <c r="AA94" s="77">
        <f>IF(AO94="1",BG94,0)</f>
        <v>0</v>
      </c>
      <c r="AB94" s="77">
        <f>IF(AO94="7",BF94,0)</f>
        <v>0</v>
      </c>
      <c r="AC94" s="77">
        <f>IF(AO94="7",BG94,0)</f>
        <v>0</v>
      </c>
      <c r="AD94" s="77">
        <f>IF(AO94="2",BF94,0)</f>
        <v>0</v>
      </c>
      <c r="AE94" s="77">
        <f>IF(AO94="2",BG94,0)</f>
        <v>0</v>
      </c>
      <c r="AF94" s="77">
        <f>IF(AO94="0",BH94,0)</f>
        <v>0</v>
      </c>
      <c r="AG94" s="71" t="s">
        <v>129</v>
      </c>
      <c r="AH94" s="77">
        <f>IF(AL94=0,J94,0)</f>
        <v>0</v>
      </c>
      <c r="AI94" s="77">
        <f>IF(AL94=15,J94,0)</f>
        <v>0</v>
      </c>
      <c r="AJ94" s="77">
        <f>IF(AL94=21,J94,0)</f>
        <v>0</v>
      </c>
      <c r="AL94" s="77">
        <v>15</v>
      </c>
      <c r="AM94" s="77">
        <f>G94*0</f>
        <v>0</v>
      </c>
      <c r="AN94" s="77">
        <f>G94*(1-0)</f>
        <v>0</v>
      </c>
      <c r="AO94" s="79" t="s">
        <v>158</v>
      </c>
      <c r="AT94" s="77">
        <f>AU94+AV94</f>
        <v>0</v>
      </c>
      <c r="AU94" s="77">
        <f>F94*AM94</f>
        <v>0</v>
      </c>
      <c r="AV94" s="77">
        <f>F94*AN94</f>
        <v>0</v>
      </c>
      <c r="AW94" s="79" t="s">
        <v>391</v>
      </c>
      <c r="AX94" s="79" t="s">
        <v>384</v>
      </c>
      <c r="AY94" s="71" t="s">
        <v>137</v>
      </c>
      <c r="BA94" s="77">
        <f>AU94+AV94</f>
        <v>0</v>
      </c>
      <c r="BB94" s="77">
        <f>G94/(100-BC94)*100</f>
        <v>0</v>
      </c>
      <c r="BC94" s="77">
        <v>0</v>
      </c>
      <c r="BD94" s="77">
        <f>L94</f>
        <v>0</v>
      </c>
      <c r="BF94" s="77">
        <f>F94*AM94</f>
        <v>0</v>
      </c>
      <c r="BG94" s="77">
        <f>F94*AN94</f>
        <v>0</v>
      </c>
      <c r="BH94" s="77">
        <f>F94*G94</f>
        <v>0</v>
      </c>
      <c r="BI94" s="77"/>
      <c r="BJ94" s="77"/>
      <c r="BU94" s="77" t="e">
        <f>#REF!</f>
        <v>#REF!</v>
      </c>
      <c r="BV94" s="70" t="s">
        <v>799</v>
      </c>
    </row>
    <row r="95" spans="1:74" ht="40.5" customHeight="1" x14ac:dyDescent="0.25">
      <c r="A95" s="104"/>
      <c r="B95" s="81" t="s">
        <v>138</v>
      </c>
      <c r="C95" s="303" t="s">
        <v>1204</v>
      </c>
      <c r="D95" s="304"/>
      <c r="E95" s="304"/>
      <c r="F95" s="304"/>
      <c r="G95" s="304"/>
      <c r="H95" s="304"/>
      <c r="I95" s="304"/>
      <c r="J95" s="304"/>
      <c r="K95" s="304"/>
      <c r="L95" s="304"/>
      <c r="M95" s="305"/>
    </row>
    <row r="96" spans="1:74" ht="25.5" x14ac:dyDescent="0.25">
      <c r="A96" s="92" t="s">
        <v>308</v>
      </c>
      <c r="B96" s="69" t="s">
        <v>389</v>
      </c>
      <c r="C96" s="306" t="s">
        <v>400</v>
      </c>
      <c r="D96" s="307"/>
      <c r="E96" s="69" t="s">
        <v>281</v>
      </c>
      <c r="F96" s="77">
        <v>9.66</v>
      </c>
      <c r="G96" s="218">
        <v>0</v>
      </c>
      <c r="H96" s="77">
        <f>F96*AM96</f>
        <v>0</v>
      </c>
      <c r="I96" s="77">
        <f>F96*AN96</f>
        <v>0</v>
      </c>
      <c r="J96" s="77">
        <f>F96*G96</f>
        <v>0</v>
      </c>
      <c r="K96" s="77">
        <v>0</v>
      </c>
      <c r="L96" s="77">
        <f>F96*K96</f>
        <v>0</v>
      </c>
      <c r="M96" s="103" t="s">
        <v>35</v>
      </c>
      <c r="X96" s="77">
        <f>IF(AO96="5",BH96,0)</f>
        <v>0</v>
      </c>
      <c r="Z96" s="77">
        <f>IF(AO96="1",BF96,0)</f>
        <v>0</v>
      </c>
      <c r="AA96" s="77">
        <f>IF(AO96="1",BG96,0)</f>
        <v>0</v>
      </c>
      <c r="AB96" s="77">
        <f>IF(AO96="7",BF96,0)</f>
        <v>0</v>
      </c>
      <c r="AC96" s="77">
        <f>IF(AO96="7",BG96,0)</f>
        <v>0</v>
      </c>
      <c r="AD96" s="77">
        <f>IF(AO96="2",BF96,0)</f>
        <v>0</v>
      </c>
      <c r="AE96" s="77">
        <f>IF(AO96="2",BG96,0)</f>
        <v>0</v>
      </c>
      <c r="AF96" s="77">
        <f>IF(AO96="0",BH96,0)</f>
        <v>0</v>
      </c>
      <c r="AG96" s="71" t="s">
        <v>129</v>
      </c>
      <c r="AH96" s="77">
        <f>IF(AL96=0,J96,0)</f>
        <v>0</v>
      </c>
      <c r="AI96" s="77">
        <f>IF(AL96=15,J96,0)</f>
        <v>0</v>
      </c>
      <c r="AJ96" s="77">
        <f>IF(AL96=21,J96,0)</f>
        <v>0</v>
      </c>
      <c r="AL96" s="77">
        <v>15</v>
      </c>
      <c r="AM96" s="77">
        <f>G96*0</f>
        <v>0</v>
      </c>
      <c r="AN96" s="77">
        <f>G96*(1-0)</f>
        <v>0</v>
      </c>
      <c r="AO96" s="79" t="s">
        <v>158</v>
      </c>
      <c r="AT96" s="77">
        <f>AU96+AV96</f>
        <v>0</v>
      </c>
      <c r="AU96" s="77">
        <f>F96*AM96</f>
        <v>0</v>
      </c>
      <c r="AV96" s="77">
        <f>F96*AN96</f>
        <v>0</v>
      </c>
      <c r="AW96" s="79" t="s">
        <v>391</v>
      </c>
      <c r="AX96" s="79" t="s">
        <v>384</v>
      </c>
      <c r="AY96" s="71" t="s">
        <v>137</v>
      </c>
      <c r="BA96" s="77">
        <f>AU96+AV96</f>
        <v>0</v>
      </c>
      <c r="BB96" s="77">
        <f>G96/(100-BC96)*100</f>
        <v>0</v>
      </c>
      <c r="BC96" s="77">
        <v>0</v>
      </c>
      <c r="BD96" s="77">
        <f>L96</f>
        <v>0</v>
      </c>
      <c r="BF96" s="77">
        <f>F96*AM96</f>
        <v>0</v>
      </c>
      <c r="BG96" s="77">
        <f>F96*AN96</f>
        <v>0</v>
      </c>
      <c r="BH96" s="77">
        <f>F96*G96</f>
        <v>0</v>
      </c>
      <c r="BI96" s="77"/>
      <c r="BJ96" s="77"/>
      <c r="BU96" s="77" t="e">
        <f>#REF!</f>
        <v>#REF!</v>
      </c>
      <c r="BV96" s="70" t="s">
        <v>400</v>
      </c>
    </row>
    <row r="97" spans="1:74" x14ac:dyDescent="0.25">
      <c r="A97" s="105" t="s">
        <v>129</v>
      </c>
      <c r="B97" s="74" t="s">
        <v>401</v>
      </c>
      <c r="C97" s="314" t="s">
        <v>402</v>
      </c>
      <c r="D97" s="315"/>
      <c r="E97" s="75" t="s">
        <v>87</v>
      </c>
      <c r="F97" s="75" t="s">
        <v>87</v>
      </c>
      <c r="G97" s="75" t="s">
        <v>87</v>
      </c>
      <c r="H97" s="67">
        <f>SUM(H98:H99)</f>
        <v>0</v>
      </c>
      <c r="I97" s="67">
        <f>SUM(I98:I99)</f>
        <v>0</v>
      </c>
      <c r="J97" s="67">
        <f>SUM(J98:J99)</f>
        <v>0</v>
      </c>
      <c r="K97" s="71" t="s">
        <v>129</v>
      </c>
      <c r="L97" s="67">
        <f>SUM(L98:L99)</f>
        <v>0</v>
      </c>
      <c r="M97" s="106" t="s">
        <v>129</v>
      </c>
      <c r="AG97" s="71" t="s">
        <v>129</v>
      </c>
      <c r="AQ97" s="67">
        <f>SUM(AH98:AH99)</f>
        <v>0</v>
      </c>
      <c r="AR97" s="67">
        <f>SUM(AI98:AI99)</f>
        <v>0</v>
      </c>
      <c r="AS97" s="67">
        <f>SUM(AJ98:AJ99)</f>
        <v>0</v>
      </c>
    </row>
    <row r="98" spans="1:74" x14ac:dyDescent="0.25">
      <c r="A98" s="92" t="s">
        <v>310</v>
      </c>
      <c r="B98" s="69" t="s">
        <v>404</v>
      </c>
      <c r="C98" s="306" t="s">
        <v>405</v>
      </c>
      <c r="D98" s="307"/>
      <c r="E98" s="69" t="s">
        <v>281</v>
      </c>
      <c r="F98" s="77">
        <v>1.73</v>
      </c>
      <c r="G98" s="218">
        <v>0</v>
      </c>
      <c r="H98" s="77">
        <f>F98*AM98</f>
        <v>0</v>
      </c>
      <c r="I98" s="77">
        <f>F98*AN98</f>
        <v>0</v>
      </c>
      <c r="J98" s="77">
        <f>F98*G98</f>
        <v>0</v>
      </c>
      <c r="K98" s="77">
        <v>0</v>
      </c>
      <c r="L98" s="77">
        <f>F98*K98</f>
        <v>0</v>
      </c>
      <c r="M98" s="103" t="s">
        <v>35</v>
      </c>
      <c r="X98" s="77">
        <f>IF(AO98="5",BH98,0)</f>
        <v>0</v>
      </c>
      <c r="Z98" s="77">
        <f>IF(AO98="1",BF98,0)</f>
        <v>0</v>
      </c>
      <c r="AA98" s="77">
        <f>IF(AO98="1",BG98,0)</f>
        <v>0</v>
      </c>
      <c r="AB98" s="77">
        <f>IF(AO98="7",BF98,0)</f>
        <v>0</v>
      </c>
      <c r="AC98" s="77">
        <f>IF(AO98="7",BG98,0)</f>
        <v>0</v>
      </c>
      <c r="AD98" s="77">
        <f>IF(AO98="2",BF98,0)</f>
        <v>0</v>
      </c>
      <c r="AE98" s="77">
        <f>IF(AO98="2",BG98,0)</f>
        <v>0</v>
      </c>
      <c r="AF98" s="77">
        <f>IF(AO98="0",BH98,0)</f>
        <v>0</v>
      </c>
      <c r="AG98" s="71" t="s">
        <v>129</v>
      </c>
      <c r="AH98" s="77">
        <f>IF(AL98=0,J98,0)</f>
        <v>0</v>
      </c>
      <c r="AI98" s="77">
        <f>IF(AL98=15,J98,0)</f>
        <v>0</v>
      </c>
      <c r="AJ98" s="77">
        <f>IF(AL98=21,J98,0)</f>
        <v>0</v>
      </c>
      <c r="AL98" s="77">
        <v>15</v>
      </c>
      <c r="AM98" s="77">
        <f>G98*0</f>
        <v>0</v>
      </c>
      <c r="AN98" s="77">
        <f>G98*(1-0)</f>
        <v>0</v>
      </c>
      <c r="AO98" s="79" t="s">
        <v>158</v>
      </c>
      <c r="AT98" s="77">
        <f>AU98+AV98</f>
        <v>0</v>
      </c>
      <c r="AU98" s="77">
        <f>F98*AM98</f>
        <v>0</v>
      </c>
      <c r="AV98" s="77">
        <f>F98*AN98</f>
        <v>0</v>
      </c>
      <c r="AW98" s="79" t="s">
        <v>406</v>
      </c>
      <c r="AX98" s="79" t="s">
        <v>384</v>
      </c>
      <c r="AY98" s="71" t="s">
        <v>137</v>
      </c>
      <c r="BA98" s="77">
        <f>AU98+AV98</f>
        <v>0</v>
      </c>
      <c r="BB98" s="77">
        <f>G98/(100-BC98)*100</f>
        <v>0</v>
      </c>
      <c r="BC98" s="77">
        <v>0</v>
      </c>
      <c r="BD98" s="77">
        <f>L98</f>
        <v>0</v>
      </c>
      <c r="BF98" s="77">
        <f>F98*AM98</f>
        <v>0</v>
      </c>
      <c r="BG98" s="77">
        <f>F98*AN98</f>
        <v>0</v>
      </c>
      <c r="BH98" s="77">
        <f>F98*G98</f>
        <v>0</v>
      </c>
      <c r="BI98" s="77"/>
      <c r="BJ98" s="77"/>
      <c r="BU98" s="77" t="e">
        <f>#REF!</f>
        <v>#REF!</v>
      </c>
      <c r="BV98" s="70" t="s">
        <v>405</v>
      </c>
    </row>
    <row r="99" spans="1:74" x14ac:dyDescent="0.25">
      <c r="A99" s="92" t="s">
        <v>316</v>
      </c>
      <c r="B99" s="69" t="s">
        <v>408</v>
      </c>
      <c r="C99" s="306" t="s">
        <v>409</v>
      </c>
      <c r="D99" s="307"/>
      <c r="E99" s="69" t="s">
        <v>281</v>
      </c>
      <c r="F99" s="77">
        <v>4.71</v>
      </c>
      <c r="G99" s="218">
        <v>0</v>
      </c>
      <c r="H99" s="77">
        <f>F99*AM99</f>
        <v>0</v>
      </c>
      <c r="I99" s="77">
        <f>F99*AN99</f>
        <v>0</v>
      </c>
      <c r="J99" s="77">
        <f>F99*G99</f>
        <v>0</v>
      </c>
      <c r="K99" s="77">
        <v>0</v>
      </c>
      <c r="L99" s="77">
        <f>F99*K99</f>
        <v>0</v>
      </c>
      <c r="M99" s="103" t="s">
        <v>35</v>
      </c>
      <c r="X99" s="77">
        <f>IF(AO99="5",BH99,0)</f>
        <v>0</v>
      </c>
      <c r="Z99" s="77">
        <f>IF(AO99="1",BF99,0)</f>
        <v>0</v>
      </c>
      <c r="AA99" s="77">
        <f>IF(AO99="1",BG99,0)</f>
        <v>0</v>
      </c>
      <c r="AB99" s="77">
        <f>IF(AO99="7",BF99,0)</f>
        <v>0</v>
      </c>
      <c r="AC99" s="77">
        <f>IF(AO99="7",BG99,0)</f>
        <v>0</v>
      </c>
      <c r="AD99" s="77">
        <f>IF(AO99="2",BF99,0)</f>
        <v>0</v>
      </c>
      <c r="AE99" s="77">
        <f>IF(AO99="2",BG99,0)</f>
        <v>0</v>
      </c>
      <c r="AF99" s="77">
        <f>IF(AO99="0",BH99,0)</f>
        <v>0</v>
      </c>
      <c r="AG99" s="71" t="s">
        <v>129</v>
      </c>
      <c r="AH99" s="77">
        <f>IF(AL99=0,J99,0)</f>
        <v>0</v>
      </c>
      <c r="AI99" s="77">
        <f>IF(AL99=15,J99,0)</f>
        <v>0</v>
      </c>
      <c r="AJ99" s="77">
        <f>IF(AL99=21,J99,0)</f>
        <v>0</v>
      </c>
      <c r="AL99" s="77">
        <v>15</v>
      </c>
      <c r="AM99" s="77">
        <f>G99*0</f>
        <v>0</v>
      </c>
      <c r="AN99" s="77">
        <f>G99*(1-0)</f>
        <v>0</v>
      </c>
      <c r="AO99" s="79" t="s">
        <v>158</v>
      </c>
      <c r="AT99" s="77">
        <f>AU99+AV99</f>
        <v>0</v>
      </c>
      <c r="AU99" s="77">
        <f>F99*AM99</f>
        <v>0</v>
      </c>
      <c r="AV99" s="77">
        <f>F99*AN99</f>
        <v>0</v>
      </c>
      <c r="AW99" s="79" t="s">
        <v>406</v>
      </c>
      <c r="AX99" s="79" t="s">
        <v>384</v>
      </c>
      <c r="AY99" s="71" t="s">
        <v>137</v>
      </c>
      <c r="BA99" s="77">
        <f>AU99+AV99</f>
        <v>0</v>
      </c>
      <c r="BB99" s="77">
        <f>G99/(100-BC99)*100</f>
        <v>0</v>
      </c>
      <c r="BC99" s="77">
        <v>0</v>
      </c>
      <c r="BD99" s="77">
        <f>L99</f>
        <v>0</v>
      </c>
      <c r="BF99" s="77">
        <f>F99*AM99</f>
        <v>0</v>
      </c>
      <c r="BG99" s="77">
        <f>F99*AN99</f>
        <v>0</v>
      </c>
      <c r="BH99" s="77">
        <f>F99*G99</f>
        <v>0</v>
      </c>
      <c r="BI99" s="77"/>
      <c r="BJ99" s="77"/>
      <c r="BU99" s="77" t="e">
        <f>#REF!</f>
        <v>#REF!</v>
      </c>
      <c r="BV99" s="70" t="s">
        <v>409</v>
      </c>
    </row>
    <row r="100" spans="1:74" x14ac:dyDescent="0.25">
      <c r="A100" s="105" t="s">
        <v>129</v>
      </c>
      <c r="B100" s="74" t="s">
        <v>585</v>
      </c>
      <c r="C100" s="314" t="s">
        <v>586</v>
      </c>
      <c r="D100" s="315"/>
      <c r="E100" s="75" t="s">
        <v>87</v>
      </c>
      <c r="F100" s="75" t="s">
        <v>87</v>
      </c>
      <c r="G100" s="75" t="s">
        <v>87</v>
      </c>
      <c r="H100" s="67">
        <f>SUM(H101:H101)</f>
        <v>0</v>
      </c>
      <c r="I100" s="67">
        <f>SUM(I101:I101)</f>
        <v>0</v>
      </c>
      <c r="J100" s="67">
        <f>SUM(J101:J101)</f>
        <v>0</v>
      </c>
      <c r="K100" s="71" t="s">
        <v>129</v>
      </c>
      <c r="L100" s="67">
        <f>SUM(L101:L101)</f>
        <v>0</v>
      </c>
      <c r="M100" s="106" t="s">
        <v>129</v>
      </c>
      <c r="AG100" s="71" t="s">
        <v>129</v>
      </c>
      <c r="AQ100" s="67">
        <f>SUM(AH101:AH101)</f>
        <v>0</v>
      </c>
      <c r="AR100" s="67">
        <f>SUM(AI101:AI101)</f>
        <v>0</v>
      </c>
      <c r="AS100" s="67">
        <f>SUM(AJ101:AJ101)</f>
        <v>0</v>
      </c>
    </row>
    <row r="101" spans="1:74" ht="15.75" thickBot="1" x14ac:dyDescent="0.3">
      <c r="A101" s="93" t="s">
        <v>322</v>
      </c>
      <c r="B101" s="94" t="s">
        <v>587</v>
      </c>
      <c r="C101" s="316" t="s">
        <v>588</v>
      </c>
      <c r="D101" s="317"/>
      <c r="E101" s="94" t="s">
        <v>281</v>
      </c>
      <c r="F101" s="125">
        <v>0.01</v>
      </c>
      <c r="G101" s="220">
        <v>0</v>
      </c>
      <c r="H101" s="125">
        <f>F101*AM101</f>
        <v>0</v>
      </c>
      <c r="I101" s="125">
        <f>F101*AN101</f>
        <v>0</v>
      </c>
      <c r="J101" s="125">
        <f>F101*G101</f>
        <v>0</v>
      </c>
      <c r="K101" s="125">
        <v>0</v>
      </c>
      <c r="L101" s="125">
        <f>F101*K101</f>
        <v>0</v>
      </c>
      <c r="M101" s="126" t="s">
        <v>35</v>
      </c>
      <c r="X101" s="77">
        <f>IF(AO101="5",BH101,0)</f>
        <v>0</v>
      </c>
      <c r="Z101" s="77">
        <f>IF(AO101="1",BF101,0)</f>
        <v>0</v>
      </c>
      <c r="AA101" s="77">
        <f>IF(AO101="1",BG101,0)</f>
        <v>0</v>
      </c>
      <c r="AB101" s="77">
        <f>IF(AO101="7",BF101,0)</f>
        <v>0</v>
      </c>
      <c r="AC101" s="77">
        <f>IF(AO101="7",BG101,0)</f>
        <v>0</v>
      </c>
      <c r="AD101" s="77">
        <f>IF(AO101="2",BF101,0)</f>
        <v>0</v>
      </c>
      <c r="AE101" s="77">
        <f>IF(AO101="2",BG101,0)</f>
        <v>0</v>
      </c>
      <c r="AF101" s="77">
        <f>IF(AO101="0",BH101,0)</f>
        <v>0</v>
      </c>
      <c r="AG101" s="71" t="s">
        <v>129</v>
      </c>
      <c r="AH101" s="77">
        <f>IF(AL101=0,J101,0)</f>
        <v>0</v>
      </c>
      <c r="AI101" s="77">
        <f>IF(AL101=15,J101,0)</f>
        <v>0</v>
      </c>
      <c r="AJ101" s="77">
        <f>IF(AL101=21,J101,0)</f>
        <v>0</v>
      </c>
      <c r="AL101" s="77">
        <v>15</v>
      </c>
      <c r="AM101" s="77">
        <f>G101*0</f>
        <v>0</v>
      </c>
      <c r="AN101" s="77">
        <f>G101*(1-0)</f>
        <v>0</v>
      </c>
      <c r="AO101" s="79" t="s">
        <v>158</v>
      </c>
      <c r="AT101" s="77">
        <f>AU101+AV101</f>
        <v>0</v>
      </c>
      <c r="AU101" s="77">
        <f>F101*AM101</f>
        <v>0</v>
      </c>
      <c r="AV101" s="77">
        <f>F101*AN101</f>
        <v>0</v>
      </c>
      <c r="AW101" s="79" t="s">
        <v>589</v>
      </c>
      <c r="AX101" s="79" t="s">
        <v>384</v>
      </c>
      <c r="AY101" s="71" t="s">
        <v>137</v>
      </c>
      <c r="BA101" s="77">
        <f>AU101+AV101</f>
        <v>0</v>
      </c>
      <c r="BB101" s="77">
        <f>G101/(100-BC101)*100</f>
        <v>0</v>
      </c>
      <c r="BC101" s="77">
        <v>0</v>
      </c>
      <c r="BD101" s="77">
        <f>L101</f>
        <v>0</v>
      </c>
      <c r="BF101" s="77">
        <f>F101*AM101</f>
        <v>0</v>
      </c>
      <c r="BG101" s="77">
        <f>F101*AN101</f>
        <v>0</v>
      </c>
      <c r="BH101" s="77">
        <f>F101*G101</f>
        <v>0</v>
      </c>
      <c r="BI101" s="77"/>
      <c r="BJ101" s="77"/>
      <c r="BU101" s="77" t="e">
        <f>#REF!</f>
        <v>#REF!</v>
      </c>
      <c r="BV101" s="70" t="s">
        <v>588</v>
      </c>
    </row>
    <row r="102" spans="1:74" x14ac:dyDescent="0.25">
      <c r="H102" s="311" t="s">
        <v>475</v>
      </c>
      <c r="I102" s="311"/>
      <c r="J102" s="84">
        <f>ROUND(J12+J19+J24+J33+J38+J51+J58+J61+J64+J67+J70+J79+J82+J87+J90+J97+J100,1)</f>
        <v>0</v>
      </c>
    </row>
    <row r="103" spans="1:74" x14ac:dyDescent="0.25">
      <c r="A103" s="85" t="s">
        <v>138</v>
      </c>
    </row>
    <row r="104" spans="1:74" ht="27" customHeight="1" x14ac:dyDescent="0.25">
      <c r="A104" s="306" t="s">
        <v>953</v>
      </c>
      <c r="B104" s="307"/>
      <c r="C104" s="307"/>
      <c r="D104" s="307"/>
      <c r="E104" s="307"/>
      <c r="F104" s="307"/>
      <c r="G104" s="307"/>
      <c r="H104" s="307"/>
      <c r="I104" s="307"/>
      <c r="J104" s="307"/>
      <c r="K104" s="307"/>
      <c r="L104" s="307"/>
      <c r="M104" s="307"/>
    </row>
  </sheetData>
  <sheetProtection algorithmName="SHA-512" hashValue="r93LJhGrEAEcSJh+PitX8i2sidI9TQtdJ5beXAxxO/ff+BSA8XdJb2Ba9/BrlrLJKs4nK0kL4NOrofMA9oOJZQ==" saltValue="WSrAJW+dnzJ1gaD9h7hL2A==" spinCount="100000" sheet="1" formatCells="0" formatColumns="0" formatRows="0" insertColumns="0" insertRows="0" insertHyperlinks="0"/>
  <mergeCells count="121">
    <mergeCell ref="C101:D101"/>
    <mergeCell ref="H102:I102"/>
    <mergeCell ref="A104:M104"/>
    <mergeCell ref="C95:M95"/>
    <mergeCell ref="C96:D96"/>
    <mergeCell ref="C97:D97"/>
    <mergeCell ref="C98:D98"/>
    <mergeCell ref="C99:D99"/>
    <mergeCell ref="C100:D100"/>
    <mergeCell ref="C89:M89"/>
    <mergeCell ref="C90:D90"/>
    <mergeCell ref="C91:D91"/>
    <mergeCell ref="C92:D92"/>
    <mergeCell ref="C93:M93"/>
    <mergeCell ref="C94:D94"/>
    <mergeCell ref="C83:D83"/>
    <mergeCell ref="C84:M84"/>
    <mergeCell ref="C85:D85"/>
    <mergeCell ref="C86:M86"/>
    <mergeCell ref="C87:D87"/>
    <mergeCell ref="C88:D88"/>
    <mergeCell ref="C77:D77"/>
    <mergeCell ref="C78:M78"/>
    <mergeCell ref="C79:D79"/>
    <mergeCell ref="C80:D80"/>
    <mergeCell ref="C81:M81"/>
    <mergeCell ref="C82:D82"/>
    <mergeCell ref="C71:D71"/>
    <mergeCell ref="C72:M72"/>
    <mergeCell ref="C73:D73"/>
    <mergeCell ref="C74:M74"/>
    <mergeCell ref="C75:D75"/>
    <mergeCell ref="C76:M76"/>
    <mergeCell ref="C65:D65"/>
    <mergeCell ref="C66:M66"/>
    <mergeCell ref="C67:D67"/>
    <mergeCell ref="C68:D68"/>
    <mergeCell ref="C69:M69"/>
    <mergeCell ref="C70:D70"/>
    <mergeCell ref="C59:D59"/>
    <mergeCell ref="C60:M60"/>
    <mergeCell ref="C61:D61"/>
    <mergeCell ref="C62:D62"/>
    <mergeCell ref="C63:M63"/>
    <mergeCell ref="C64:D64"/>
    <mergeCell ref="C53:M53"/>
    <mergeCell ref="C54:D54"/>
    <mergeCell ref="C55:M55"/>
    <mergeCell ref="C56:D56"/>
    <mergeCell ref="C57:M57"/>
    <mergeCell ref="C58:D58"/>
    <mergeCell ref="C47:D47"/>
    <mergeCell ref="C48:M48"/>
    <mergeCell ref="C49:D49"/>
    <mergeCell ref="C50:M50"/>
    <mergeCell ref="C51:D51"/>
    <mergeCell ref="C52:D52"/>
    <mergeCell ref="C41:D41"/>
    <mergeCell ref="C42:M42"/>
    <mergeCell ref="C43:D43"/>
    <mergeCell ref="C44:M44"/>
    <mergeCell ref="C45:D45"/>
    <mergeCell ref="C46:M46"/>
    <mergeCell ref="C35:M35"/>
    <mergeCell ref="C36:D36"/>
    <mergeCell ref="C37:M37"/>
    <mergeCell ref="C38:D38"/>
    <mergeCell ref="C39:D39"/>
    <mergeCell ref="C40:M40"/>
    <mergeCell ref="C29:D29"/>
    <mergeCell ref="C30:M30"/>
    <mergeCell ref="C31:D31"/>
    <mergeCell ref="C32:M32"/>
    <mergeCell ref="C33:D33"/>
    <mergeCell ref="C34:D34"/>
    <mergeCell ref="C23:M23"/>
    <mergeCell ref="C24:D24"/>
    <mergeCell ref="C25:D25"/>
    <mergeCell ref="C26:M26"/>
    <mergeCell ref="C27:D27"/>
    <mergeCell ref="C28:M28"/>
    <mergeCell ref="C17:D17"/>
    <mergeCell ref="C18:M18"/>
    <mergeCell ref="C19:D19"/>
    <mergeCell ref="C20:D20"/>
    <mergeCell ref="C21:M21"/>
    <mergeCell ref="C22:D22"/>
    <mergeCell ref="C11:D11"/>
    <mergeCell ref="C12:D12"/>
    <mergeCell ref="C13:D13"/>
    <mergeCell ref="C14:M14"/>
    <mergeCell ref="C15:D15"/>
    <mergeCell ref="C16:M16"/>
    <mergeCell ref="A8:B9"/>
    <mergeCell ref="C8:D9"/>
    <mergeCell ref="E8:F9"/>
    <mergeCell ref="G8:G9"/>
    <mergeCell ref="C10:D10"/>
    <mergeCell ref="H10:J10"/>
    <mergeCell ref="K10:L10"/>
    <mergeCell ref="A4:B5"/>
    <mergeCell ref="C4:D5"/>
    <mergeCell ref="E4:F5"/>
    <mergeCell ref="G4:G5"/>
    <mergeCell ref="A6:B7"/>
    <mergeCell ref="C6:D7"/>
    <mergeCell ref="E6:F7"/>
    <mergeCell ref="G6:G7"/>
    <mergeCell ref="H6:H7"/>
    <mergeCell ref="I6:M7"/>
    <mergeCell ref="H8:H9"/>
    <mergeCell ref="I8:M9"/>
    <mergeCell ref="A1:M1"/>
    <mergeCell ref="A2:B3"/>
    <mergeCell ref="C2:D3"/>
    <mergeCell ref="E2:F3"/>
    <mergeCell ref="G2:G3"/>
    <mergeCell ref="H2:H3"/>
    <mergeCell ref="I2:M3"/>
    <mergeCell ref="H4:H5"/>
    <mergeCell ref="I4:M5"/>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3" manualBreakCount="3">
    <brk id="26" max="12" man="1"/>
    <brk id="53" max="12" man="1"/>
    <brk id="81" max="12" man="1"/>
  </row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73B1D-A640-448D-8ADC-139A84BCA51F}">
  <sheetPr codeName="List7">
    <pageSetUpPr fitToPage="1"/>
  </sheetPr>
  <dimension ref="A1:BV205"/>
  <sheetViews>
    <sheetView view="pageBreakPreview" zoomScale="40" zoomScaleNormal="40" zoomScaleSheetLayoutView="40" workbookViewId="0">
      <pane ySplit="11" topLeftCell="A12" activePane="bottomLeft" state="frozen"/>
      <selection activeCell="D44" sqref="D44"/>
      <selection pane="bottomLeft" activeCell="C44" sqref="C44:D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1232</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723</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477</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ht="15" customHeight="1" x14ac:dyDescent="0.25">
      <c r="A8" s="327" t="s">
        <v>95</v>
      </c>
      <c r="B8" s="307"/>
      <c r="C8" s="329" t="s">
        <v>478</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479</v>
      </c>
      <c r="C12" s="318" t="s">
        <v>336</v>
      </c>
      <c r="D12" s="319"/>
      <c r="E12" s="99" t="s">
        <v>87</v>
      </c>
      <c r="F12" s="99" t="s">
        <v>87</v>
      </c>
      <c r="G12" s="99" t="s">
        <v>87</v>
      </c>
      <c r="H12" s="100">
        <f>SUM(H13:H13)</f>
        <v>0</v>
      </c>
      <c r="I12" s="100">
        <f>SUM(I13:I13)</f>
        <v>0</v>
      </c>
      <c r="J12" s="100">
        <f>SUM(J13:J13)</f>
        <v>0</v>
      </c>
      <c r="K12" s="101" t="s">
        <v>129</v>
      </c>
      <c r="L12" s="100">
        <f>SUM(L13:L13)</f>
        <v>0.02</v>
      </c>
      <c r="M12" s="102" t="s">
        <v>129</v>
      </c>
      <c r="AG12" s="71" t="s">
        <v>129</v>
      </c>
      <c r="AQ12" s="67">
        <f>SUM(AH13:AH13)</f>
        <v>0</v>
      </c>
      <c r="AR12" s="67">
        <f>SUM(AI13:AI13)</f>
        <v>0</v>
      </c>
      <c r="AS12" s="67">
        <f>SUM(AJ13:AJ13)</f>
        <v>0</v>
      </c>
    </row>
    <row r="13" spans="1:74" x14ac:dyDescent="0.25">
      <c r="A13" s="92" t="s">
        <v>132</v>
      </c>
      <c r="B13" s="69" t="s">
        <v>480</v>
      </c>
      <c r="C13" s="306" t="s">
        <v>481</v>
      </c>
      <c r="D13" s="307"/>
      <c r="E13" s="69" t="s">
        <v>482</v>
      </c>
      <c r="F13" s="77">
        <v>2</v>
      </c>
      <c r="G13" s="218">
        <v>0</v>
      </c>
      <c r="H13" s="77">
        <f>F13*AM13</f>
        <v>0</v>
      </c>
      <c r="I13" s="77">
        <f>F13*AN13</f>
        <v>0</v>
      </c>
      <c r="J13" s="77">
        <f>F13*G13</f>
        <v>0</v>
      </c>
      <c r="K13" s="77">
        <v>0.01</v>
      </c>
      <c r="L13" s="77">
        <f>F13*K13</f>
        <v>0.02</v>
      </c>
      <c r="M13" s="103" t="s">
        <v>35</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21</v>
      </c>
      <c r="AM13" s="77">
        <f>G13*0.275766017</f>
        <v>0</v>
      </c>
      <c r="AN13" s="77">
        <f>G13*(1-0.275766017)</f>
        <v>0</v>
      </c>
      <c r="AO13" s="79" t="s">
        <v>132</v>
      </c>
      <c r="AT13" s="77">
        <f>AU13+AV13</f>
        <v>0</v>
      </c>
      <c r="AU13" s="77">
        <f>F13*AM13</f>
        <v>0</v>
      </c>
      <c r="AV13" s="77">
        <f>F13*AN13</f>
        <v>0</v>
      </c>
      <c r="AW13" s="79" t="s">
        <v>483</v>
      </c>
      <c r="AX13" s="79" t="s">
        <v>136</v>
      </c>
      <c r="AY13" s="71" t="s">
        <v>137</v>
      </c>
      <c r="BA13" s="77">
        <f>AU13+AV13</f>
        <v>0</v>
      </c>
      <c r="BB13" s="77">
        <f>G13/(100-BC13)*100</f>
        <v>0</v>
      </c>
      <c r="BC13" s="77">
        <v>0</v>
      </c>
      <c r="BD13" s="77">
        <f>L13</f>
        <v>0.02</v>
      </c>
      <c r="BF13" s="77">
        <f>F13*AM13</f>
        <v>0</v>
      </c>
      <c r="BG13" s="77">
        <f>F13*AN13</f>
        <v>0</v>
      </c>
      <c r="BH13" s="77">
        <f>F13*G13</f>
        <v>0</v>
      </c>
      <c r="BI13" s="77"/>
      <c r="BJ13" s="77"/>
      <c r="BU13" s="77" t="e">
        <f>#REF!</f>
        <v>#REF!</v>
      </c>
      <c r="BV13" s="70" t="s">
        <v>481</v>
      </c>
    </row>
    <row r="14" spans="1:74" ht="40.5" customHeight="1" x14ac:dyDescent="0.25">
      <c r="A14" s="104"/>
      <c r="B14" s="81" t="s">
        <v>138</v>
      </c>
      <c r="C14" s="303" t="s">
        <v>484</v>
      </c>
      <c r="D14" s="304"/>
      <c r="E14" s="304"/>
      <c r="F14" s="304"/>
      <c r="G14" s="304"/>
      <c r="H14" s="304"/>
      <c r="I14" s="304"/>
      <c r="J14" s="304"/>
      <c r="K14" s="304"/>
      <c r="L14" s="304"/>
      <c r="M14" s="305"/>
    </row>
    <row r="15" spans="1:74" x14ac:dyDescent="0.25">
      <c r="A15" s="105" t="s">
        <v>129</v>
      </c>
      <c r="B15" s="74" t="s">
        <v>140</v>
      </c>
      <c r="C15" s="314" t="s">
        <v>141</v>
      </c>
      <c r="D15" s="315"/>
      <c r="E15" s="75" t="s">
        <v>87</v>
      </c>
      <c r="F15" s="75" t="s">
        <v>87</v>
      </c>
      <c r="G15" s="75" t="s">
        <v>87</v>
      </c>
      <c r="H15" s="67">
        <f>SUM(H16:H30)</f>
        <v>0</v>
      </c>
      <c r="I15" s="67">
        <f>SUM(I16:I30)</f>
        <v>0</v>
      </c>
      <c r="J15" s="67">
        <f>SUM(J16:J30)</f>
        <v>0</v>
      </c>
      <c r="K15" s="71" t="s">
        <v>129</v>
      </c>
      <c r="L15" s="67">
        <f>SUM(L16:L30)</f>
        <v>29.149551200000001</v>
      </c>
      <c r="M15" s="106" t="s">
        <v>129</v>
      </c>
      <c r="AG15" s="71" t="s">
        <v>129</v>
      </c>
      <c r="AQ15" s="67">
        <f>SUM(AH16:AH30)</f>
        <v>0</v>
      </c>
      <c r="AR15" s="67">
        <f>SUM(AI16:AI30)</f>
        <v>0</v>
      </c>
      <c r="AS15" s="67">
        <f>SUM(AJ16:AJ30)</f>
        <v>0</v>
      </c>
    </row>
    <row r="16" spans="1:74" x14ac:dyDescent="0.25">
      <c r="A16" s="92" t="s">
        <v>142</v>
      </c>
      <c r="B16" s="69" t="s">
        <v>143</v>
      </c>
      <c r="C16" s="306" t="s">
        <v>144</v>
      </c>
      <c r="D16" s="307"/>
      <c r="E16" s="69" t="s">
        <v>145</v>
      </c>
      <c r="F16" s="77">
        <v>2.78</v>
      </c>
      <c r="G16" s="218">
        <v>0</v>
      </c>
      <c r="H16" s="77">
        <f>F16*AM16</f>
        <v>0</v>
      </c>
      <c r="I16" s="77">
        <f>F16*AN16</f>
        <v>0</v>
      </c>
      <c r="J16" s="77">
        <f>F16*G16</f>
        <v>0</v>
      </c>
      <c r="K16" s="77">
        <v>8.6899999999999998E-3</v>
      </c>
      <c r="L16" s="77">
        <f>F16*K16</f>
        <v>2.4158199999999998E-2</v>
      </c>
      <c r="M16" s="103" t="s">
        <v>35</v>
      </c>
      <c r="X16" s="77">
        <f>IF(AO16="5",BH16,0)</f>
        <v>0</v>
      </c>
      <c r="Z16" s="77">
        <f>IF(AO16="1",BF16,0)</f>
        <v>0</v>
      </c>
      <c r="AA16" s="77">
        <f>IF(AO16="1",BG16,0)</f>
        <v>0</v>
      </c>
      <c r="AB16" s="77">
        <f>IF(AO16="7",BF16,0)</f>
        <v>0</v>
      </c>
      <c r="AC16" s="77">
        <f>IF(AO16="7",BG16,0)</f>
        <v>0</v>
      </c>
      <c r="AD16" s="77">
        <f>IF(AO16="2",BF16,0)</f>
        <v>0</v>
      </c>
      <c r="AE16" s="77">
        <f>IF(AO16="2",BG16,0)</f>
        <v>0</v>
      </c>
      <c r="AF16" s="77">
        <f>IF(AO16="0",BH16,0)</f>
        <v>0</v>
      </c>
      <c r="AG16" s="71" t="s">
        <v>129</v>
      </c>
      <c r="AH16" s="77">
        <f>IF(AL16=0,J16,0)</f>
        <v>0</v>
      </c>
      <c r="AI16" s="77">
        <f>IF(AL16=15,J16,0)</f>
        <v>0</v>
      </c>
      <c r="AJ16" s="77">
        <f>IF(AL16=21,J16,0)</f>
        <v>0</v>
      </c>
      <c r="AL16" s="77">
        <v>21</v>
      </c>
      <c r="AM16" s="77">
        <f>G16*0.061949274</f>
        <v>0</v>
      </c>
      <c r="AN16" s="77">
        <f>G16*(1-0.061949274)</f>
        <v>0</v>
      </c>
      <c r="AO16" s="79" t="s">
        <v>132</v>
      </c>
      <c r="AT16" s="77">
        <f>AU16+AV16</f>
        <v>0</v>
      </c>
      <c r="AU16" s="77">
        <f>F16*AM16</f>
        <v>0</v>
      </c>
      <c r="AV16" s="77">
        <f>F16*AN16</f>
        <v>0</v>
      </c>
      <c r="AW16" s="79" t="s">
        <v>146</v>
      </c>
      <c r="AX16" s="79" t="s">
        <v>147</v>
      </c>
      <c r="AY16" s="71" t="s">
        <v>137</v>
      </c>
      <c r="BA16" s="77">
        <f>AU16+AV16</f>
        <v>0</v>
      </c>
      <c r="BB16" s="77">
        <f>G16/(100-BC16)*100</f>
        <v>0</v>
      </c>
      <c r="BC16" s="77">
        <v>0</v>
      </c>
      <c r="BD16" s="77">
        <f>L16</f>
        <v>2.4158199999999998E-2</v>
      </c>
      <c r="BF16" s="77">
        <f>F16*AM16</f>
        <v>0</v>
      </c>
      <c r="BG16" s="77">
        <f>F16*AN16</f>
        <v>0</v>
      </c>
      <c r="BH16" s="77">
        <f>F16*G16</f>
        <v>0</v>
      </c>
      <c r="BI16" s="77"/>
      <c r="BJ16" s="77">
        <v>11</v>
      </c>
      <c r="BU16" s="77" t="e">
        <f>#REF!</f>
        <v>#REF!</v>
      </c>
      <c r="BV16" s="70" t="s">
        <v>144</v>
      </c>
    </row>
    <row r="17" spans="1:74" ht="40.5" customHeight="1" x14ac:dyDescent="0.25">
      <c r="A17" s="104"/>
      <c r="B17" s="81" t="s">
        <v>138</v>
      </c>
      <c r="C17" s="303" t="s">
        <v>486</v>
      </c>
      <c r="D17" s="304"/>
      <c r="E17" s="304"/>
      <c r="F17" s="304"/>
      <c r="G17" s="304"/>
      <c r="H17" s="304"/>
      <c r="I17" s="304"/>
      <c r="J17" s="304"/>
      <c r="K17" s="304"/>
      <c r="L17" s="304"/>
      <c r="M17" s="305"/>
    </row>
    <row r="18" spans="1:74" x14ac:dyDescent="0.25">
      <c r="A18" s="92" t="s">
        <v>149</v>
      </c>
      <c r="B18" s="69" t="s">
        <v>487</v>
      </c>
      <c r="C18" s="306" t="s">
        <v>488</v>
      </c>
      <c r="D18" s="307"/>
      <c r="E18" s="69" t="s">
        <v>156</v>
      </c>
      <c r="F18" s="77">
        <v>16</v>
      </c>
      <c r="G18" s="218">
        <v>0</v>
      </c>
      <c r="H18" s="77">
        <f>F18*AM18</f>
        <v>0</v>
      </c>
      <c r="I18" s="77">
        <f>F18*AN18</f>
        <v>0</v>
      </c>
      <c r="J18" s="77">
        <f>F18*G18</f>
        <v>0</v>
      </c>
      <c r="K18" s="77">
        <v>0</v>
      </c>
      <c r="L18" s="77">
        <f>F18*K18</f>
        <v>0</v>
      </c>
      <c r="M18" s="103" t="s">
        <v>35</v>
      </c>
      <c r="X18" s="77">
        <f>IF(AO18="5",BH18,0)</f>
        <v>0</v>
      </c>
      <c r="Z18" s="77">
        <f>IF(AO18="1",BF18,0)</f>
        <v>0</v>
      </c>
      <c r="AA18" s="77">
        <f>IF(AO18="1",BG18,0)</f>
        <v>0</v>
      </c>
      <c r="AB18" s="77">
        <f>IF(AO18="7",BF18,0)</f>
        <v>0</v>
      </c>
      <c r="AC18" s="77">
        <f>IF(AO18="7",BG18,0)</f>
        <v>0</v>
      </c>
      <c r="AD18" s="77">
        <f>IF(AO18="2",BF18,0)</f>
        <v>0</v>
      </c>
      <c r="AE18" s="77">
        <f>IF(AO18="2",BG18,0)</f>
        <v>0</v>
      </c>
      <c r="AF18" s="77">
        <f>IF(AO18="0",BH18,0)</f>
        <v>0</v>
      </c>
      <c r="AG18" s="71" t="s">
        <v>129</v>
      </c>
      <c r="AH18" s="77">
        <f>IF(AL18=0,J18,0)</f>
        <v>0</v>
      </c>
      <c r="AI18" s="77">
        <f>IF(AL18=15,J18,0)</f>
        <v>0</v>
      </c>
      <c r="AJ18" s="77">
        <f>IF(AL18=21,J18,0)</f>
        <v>0</v>
      </c>
      <c r="AL18" s="77">
        <v>21</v>
      </c>
      <c r="AM18" s="77">
        <f>G18*0</f>
        <v>0</v>
      </c>
      <c r="AN18" s="77">
        <f>G18*(1-0)</f>
        <v>0</v>
      </c>
      <c r="AO18" s="79" t="s">
        <v>132</v>
      </c>
      <c r="AT18" s="77">
        <f>AU18+AV18</f>
        <v>0</v>
      </c>
      <c r="AU18" s="77">
        <f>F18*AM18</f>
        <v>0</v>
      </c>
      <c r="AV18" s="77">
        <f>F18*AN18</f>
        <v>0</v>
      </c>
      <c r="AW18" s="79" t="s">
        <v>146</v>
      </c>
      <c r="AX18" s="79" t="s">
        <v>147</v>
      </c>
      <c r="AY18" s="71" t="s">
        <v>137</v>
      </c>
      <c r="BA18" s="77">
        <f>AU18+AV18</f>
        <v>0</v>
      </c>
      <c r="BB18" s="77">
        <f>G18/(100-BC18)*100</f>
        <v>0</v>
      </c>
      <c r="BC18" s="77">
        <v>0</v>
      </c>
      <c r="BD18" s="77">
        <f>L18</f>
        <v>0</v>
      </c>
      <c r="BF18" s="77">
        <f>F18*AM18</f>
        <v>0</v>
      </c>
      <c r="BG18" s="77">
        <f>F18*AN18</f>
        <v>0</v>
      </c>
      <c r="BH18" s="77">
        <f>F18*G18</f>
        <v>0</v>
      </c>
      <c r="BI18" s="77"/>
      <c r="BJ18" s="77">
        <v>11</v>
      </c>
      <c r="BU18" s="77" t="e">
        <f>#REF!</f>
        <v>#REF!</v>
      </c>
      <c r="BV18" s="70" t="s">
        <v>488</v>
      </c>
    </row>
    <row r="19" spans="1:74" ht="40.5" customHeight="1" x14ac:dyDescent="0.25">
      <c r="A19" s="104"/>
      <c r="B19" s="81" t="s">
        <v>138</v>
      </c>
      <c r="C19" s="303" t="s">
        <v>489</v>
      </c>
      <c r="D19" s="304"/>
      <c r="E19" s="304"/>
      <c r="F19" s="304"/>
      <c r="G19" s="304"/>
      <c r="H19" s="304"/>
      <c r="I19" s="304"/>
      <c r="J19" s="304"/>
      <c r="K19" s="304"/>
      <c r="L19" s="304"/>
      <c r="M19" s="305"/>
    </row>
    <row r="20" spans="1:74" x14ac:dyDescent="0.25">
      <c r="A20" s="92" t="s">
        <v>153</v>
      </c>
      <c r="B20" s="69" t="s">
        <v>490</v>
      </c>
      <c r="C20" s="306" t="s">
        <v>491</v>
      </c>
      <c r="D20" s="307"/>
      <c r="E20" s="69" t="s">
        <v>161</v>
      </c>
      <c r="F20" s="77">
        <v>2</v>
      </c>
      <c r="G20" s="218">
        <v>0</v>
      </c>
      <c r="H20" s="77">
        <f>F20*AM20</f>
        <v>0</v>
      </c>
      <c r="I20" s="77">
        <f>F20*AN20</f>
        <v>0</v>
      </c>
      <c r="J20" s="77">
        <f>F20*G20</f>
        <v>0</v>
      </c>
      <c r="K20" s="77">
        <v>0</v>
      </c>
      <c r="L20" s="77">
        <f>F20*K20</f>
        <v>0</v>
      </c>
      <c r="M20" s="103" t="s">
        <v>35</v>
      </c>
      <c r="X20" s="77">
        <f>IF(AO20="5",BH20,0)</f>
        <v>0</v>
      </c>
      <c r="Z20" s="77">
        <f>IF(AO20="1",BF20,0)</f>
        <v>0</v>
      </c>
      <c r="AA20" s="77">
        <f>IF(AO20="1",BG20,0)</f>
        <v>0</v>
      </c>
      <c r="AB20" s="77">
        <f>IF(AO20="7",BF20,0)</f>
        <v>0</v>
      </c>
      <c r="AC20" s="77">
        <f>IF(AO20="7",BG20,0)</f>
        <v>0</v>
      </c>
      <c r="AD20" s="77">
        <f>IF(AO20="2",BF20,0)</f>
        <v>0</v>
      </c>
      <c r="AE20" s="77">
        <f>IF(AO20="2",BG20,0)</f>
        <v>0</v>
      </c>
      <c r="AF20" s="77">
        <f>IF(AO20="0",BH20,0)</f>
        <v>0</v>
      </c>
      <c r="AG20" s="71" t="s">
        <v>129</v>
      </c>
      <c r="AH20" s="77">
        <f>IF(AL20=0,J20,0)</f>
        <v>0</v>
      </c>
      <c r="AI20" s="77">
        <f>IF(AL20=15,J20,0)</f>
        <v>0</v>
      </c>
      <c r="AJ20" s="77">
        <f>IF(AL20=21,J20,0)</f>
        <v>0</v>
      </c>
      <c r="AL20" s="77">
        <v>21</v>
      </c>
      <c r="AM20" s="77">
        <f>G20*0</f>
        <v>0</v>
      </c>
      <c r="AN20" s="77">
        <f>G20*(1-0)</f>
        <v>0</v>
      </c>
      <c r="AO20" s="79" t="s">
        <v>132</v>
      </c>
      <c r="AT20" s="77">
        <f>AU20+AV20</f>
        <v>0</v>
      </c>
      <c r="AU20" s="77">
        <f>F20*AM20</f>
        <v>0</v>
      </c>
      <c r="AV20" s="77">
        <f>F20*AN20</f>
        <v>0</v>
      </c>
      <c r="AW20" s="79" t="s">
        <v>146</v>
      </c>
      <c r="AX20" s="79" t="s">
        <v>147</v>
      </c>
      <c r="AY20" s="71" t="s">
        <v>137</v>
      </c>
      <c r="BA20" s="77">
        <f>AU20+AV20</f>
        <v>0</v>
      </c>
      <c r="BB20" s="77">
        <f>G20/(100-BC20)*100</f>
        <v>0</v>
      </c>
      <c r="BC20" s="77">
        <v>0</v>
      </c>
      <c r="BD20" s="77">
        <f>L20</f>
        <v>0</v>
      </c>
      <c r="BF20" s="77">
        <f>F20*AM20</f>
        <v>0</v>
      </c>
      <c r="BG20" s="77">
        <f>F20*AN20</f>
        <v>0</v>
      </c>
      <c r="BH20" s="77">
        <f>F20*G20</f>
        <v>0</v>
      </c>
      <c r="BI20" s="77"/>
      <c r="BJ20" s="77">
        <v>11</v>
      </c>
      <c r="BU20" s="77" t="e">
        <f>#REF!</f>
        <v>#REF!</v>
      </c>
      <c r="BV20" s="70" t="s">
        <v>491</v>
      </c>
    </row>
    <row r="21" spans="1:74" ht="40.5" customHeight="1" x14ac:dyDescent="0.25">
      <c r="A21" s="104"/>
      <c r="B21" s="81" t="s">
        <v>138</v>
      </c>
      <c r="C21" s="303" t="s">
        <v>492</v>
      </c>
      <c r="D21" s="304"/>
      <c r="E21" s="304"/>
      <c r="F21" s="304"/>
      <c r="G21" s="304"/>
      <c r="H21" s="304"/>
      <c r="I21" s="304"/>
      <c r="J21" s="304"/>
      <c r="K21" s="304"/>
      <c r="L21" s="304"/>
      <c r="M21" s="305"/>
    </row>
    <row r="22" spans="1:74" x14ac:dyDescent="0.25">
      <c r="A22" s="92" t="s">
        <v>158</v>
      </c>
      <c r="B22" s="69" t="s">
        <v>493</v>
      </c>
      <c r="C22" s="306" t="s">
        <v>494</v>
      </c>
      <c r="D22" s="307"/>
      <c r="E22" s="69" t="s">
        <v>166</v>
      </c>
      <c r="F22" s="77">
        <v>4.96</v>
      </c>
      <c r="G22" s="218">
        <v>0</v>
      </c>
      <c r="H22" s="77">
        <f>F22*AM22</f>
        <v>0</v>
      </c>
      <c r="I22" s="77">
        <f>F22*AN22</f>
        <v>0</v>
      </c>
      <c r="J22" s="77">
        <f>F22*G22</f>
        <v>0</v>
      </c>
      <c r="K22" s="77">
        <v>0.90010000000000001</v>
      </c>
      <c r="L22" s="77">
        <f>F22*K22</f>
        <v>4.4644960000000005</v>
      </c>
      <c r="M22" s="103" t="s">
        <v>35</v>
      </c>
      <c r="X22" s="77">
        <f>IF(AO22="5",BH22,0)</f>
        <v>0</v>
      </c>
      <c r="Z22" s="77">
        <f>IF(AO22="1",BF22,0)</f>
        <v>0</v>
      </c>
      <c r="AA22" s="77">
        <f>IF(AO22="1",BG22,0)</f>
        <v>0</v>
      </c>
      <c r="AB22" s="77">
        <f>IF(AO22="7",BF22,0)</f>
        <v>0</v>
      </c>
      <c r="AC22" s="77">
        <f>IF(AO22="7",BG22,0)</f>
        <v>0</v>
      </c>
      <c r="AD22" s="77">
        <f>IF(AO22="2",BF22,0)</f>
        <v>0</v>
      </c>
      <c r="AE22" s="77">
        <f>IF(AO22="2",BG22,0)</f>
        <v>0</v>
      </c>
      <c r="AF22" s="77">
        <f>IF(AO22="0",BH22,0)</f>
        <v>0</v>
      </c>
      <c r="AG22" s="71" t="s">
        <v>129</v>
      </c>
      <c r="AH22" s="77">
        <f>IF(AL22=0,J22,0)</f>
        <v>0</v>
      </c>
      <c r="AI22" s="77">
        <f>IF(AL22=15,J22,0)</f>
        <v>0</v>
      </c>
      <c r="AJ22" s="77">
        <f>IF(AL22=21,J22,0)</f>
        <v>0</v>
      </c>
      <c r="AL22" s="77">
        <v>21</v>
      </c>
      <c r="AM22" s="77">
        <f>G22*0.006611208</f>
        <v>0</v>
      </c>
      <c r="AN22" s="77">
        <f>G22*(1-0.006611208)</f>
        <v>0</v>
      </c>
      <c r="AO22" s="79" t="s">
        <v>132</v>
      </c>
      <c r="AT22" s="77">
        <f>AU22+AV22</f>
        <v>0</v>
      </c>
      <c r="AU22" s="77">
        <f>F22*AM22</f>
        <v>0</v>
      </c>
      <c r="AV22" s="77">
        <f>F22*AN22</f>
        <v>0</v>
      </c>
      <c r="AW22" s="79" t="s">
        <v>146</v>
      </c>
      <c r="AX22" s="79" t="s">
        <v>147</v>
      </c>
      <c r="AY22" s="71" t="s">
        <v>137</v>
      </c>
      <c r="BA22" s="77">
        <f>AU22+AV22</f>
        <v>0</v>
      </c>
      <c r="BB22" s="77">
        <f>G22/(100-BC22)*100</f>
        <v>0</v>
      </c>
      <c r="BC22" s="77">
        <v>0</v>
      </c>
      <c r="BD22" s="77">
        <f>L22</f>
        <v>4.4644960000000005</v>
      </c>
      <c r="BF22" s="77">
        <f>F22*AM22</f>
        <v>0</v>
      </c>
      <c r="BG22" s="77">
        <f>F22*AN22</f>
        <v>0</v>
      </c>
      <c r="BH22" s="77">
        <f>F22*G22</f>
        <v>0</v>
      </c>
      <c r="BI22" s="77"/>
      <c r="BJ22" s="77">
        <v>11</v>
      </c>
      <c r="BU22" s="77" t="e">
        <f>#REF!</f>
        <v>#REF!</v>
      </c>
      <c r="BV22" s="70" t="s">
        <v>494</v>
      </c>
    </row>
    <row r="23" spans="1:74" ht="162" customHeight="1" x14ac:dyDescent="0.25">
      <c r="A23" s="104"/>
      <c r="B23" s="81" t="s">
        <v>138</v>
      </c>
      <c r="C23" s="303" t="s">
        <v>724</v>
      </c>
      <c r="D23" s="304"/>
      <c r="E23" s="304"/>
      <c r="F23" s="304"/>
      <c r="G23" s="304"/>
      <c r="H23" s="304"/>
      <c r="I23" s="304"/>
      <c r="J23" s="304"/>
      <c r="K23" s="304"/>
      <c r="L23" s="304"/>
      <c r="M23" s="305"/>
    </row>
    <row r="24" spans="1:74" x14ac:dyDescent="0.25">
      <c r="A24" s="92" t="s">
        <v>163</v>
      </c>
      <c r="B24" s="69" t="s">
        <v>169</v>
      </c>
      <c r="C24" s="306" t="s">
        <v>170</v>
      </c>
      <c r="D24" s="307"/>
      <c r="E24" s="69" t="s">
        <v>166</v>
      </c>
      <c r="F24" s="77">
        <v>4.7300000000000004</v>
      </c>
      <c r="G24" s="218">
        <v>0</v>
      </c>
      <c r="H24" s="77">
        <f>F24*AM24</f>
        <v>0</v>
      </c>
      <c r="I24" s="77">
        <f>F24*AN24</f>
        <v>0</v>
      </c>
      <c r="J24" s="77">
        <f>F24*G24</f>
        <v>0</v>
      </c>
      <c r="K24" s="77">
        <v>0.33</v>
      </c>
      <c r="L24" s="77">
        <f>F24*K24</f>
        <v>1.5609000000000002</v>
      </c>
      <c r="M24" s="103" t="s">
        <v>35</v>
      </c>
      <c r="X24" s="77">
        <f>IF(AO24="5",BH24,0)</f>
        <v>0</v>
      </c>
      <c r="Z24" s="77">
        <f>IF(AO24="1",BF24,0)</f>
        <v>0</v>
      </c>
      <c r="AA24" s="77">
        <f>IF(AO24="1",BG24,0)</f>
        <v>0</v>
      </c>
      <c r="AB24" s="77">
        <f>IF(AO24="7",BF24,0)</f>
        <v>0</v>
      </c>
      <c r="AC24" s="77">
        <f>IF(AO24="7",BG24,0)</f>
        <v>0</v>
      </c>
      <c r="AD24" s="77">
        <f>IF(AO24="2",BF24,0)</f>
        <v>0</v>
      </c>
      <c r="AE24" s="77">
        <f>IF(AO24="2",BG24,0)</f>
        <v>0</v>
      </c>
      <c r="AF24" s="77">
        <f>IF(AO24="0",BH24,0)</f>
        <v>0</v>
      </c>
      <c r="AG24" s="71" t="s">
        <v>129</v>
      </c>
      <c r="AH24" s="77">
        <f>IF(AL24=0,J24,0)</f>
        <v>0</v>
      </c>
      <c r="AI24" s="77">
        <f>IF(AL24=15,J24,0)</f>
        <v>0</v>
      </c>
      <c r="AJ24" s="77">
        <f>IF(AL24=21,J24,0)</f>
        <v>0</v>
      </c>
      <c r="AL24" s="77">
        <v>21</v>
      </c>
      <c r="AM24" s="77">
        <f>G24*0</f>
        <v>0</v>
      </c>
      <c r="AN24" s="77">
        <f>G24*(1-0)</f>
        <v>0</v>
      </c>
      <c r="AO24" s="79" t="s">
        <v>132</v>
      </c>
      <c r="AT24" s="77">
        <f>AU24+AV24</f>
        <v>0</v>
      </c>
      <c r="AU24" s="77">
        <f>F24*AM24</f>
        <v>0</v>
      </c>
      <c r="AV24" s="77">
        <f>F24*AN24</f>
        <v>0</v>
      </c>
      <c r="AW24" s="79" t="s">
        <v>146</v>
      </c>
      <c r="AX24" s="79" t="s">
        <v>147</v>
      </c>
      <c r="AY24" s="71" t="s">
        <v>137</v>
      </c>
      <c r="BA24" s="77">
        <f>AU24+AV24</f>
        <v>0</v>
      </c>
      <c r="BB24" s="77">
        <f>G24/(100-BC24)*100</f>
        <v>0</v>
      </c>
      <c r="BC24" s="77">
        <v>0</v>
      </c>
      <c r="BD24" s="77">
        <f>L24</f>
        <v>1.5609000000000002</v>
      </c>
      <c r="BF24" s="77">
        <f>F24*AM24</f>
        <v>0</v>
      </c>
      <c r="BG24" s="77">
        <f>F24*AN24</f>
        <v>0</v>
      </c>
      <c r="BH24" s="77">
        <f>F24*G24</f>
        <v>0</v>
      </c>
      <c r="BI24" s="77"/>
      <c r="BJ24" s="77">
        <v>11</v>
      </c>
      <c r="BU24" s="77" t="e">
        <f>#REF!</f>
        <v>#REF!</v>
      </c>
      <c r="BV24" s="70" t="s">
        <v>170</v>
      </c>
    </row>
    <row r="25" spans="1:74" ht="67.5" customHeight="1" x14ac:dyDescent="0.25">
      <c r="A25" s="104"/>
      <c r="B25" s="81" t="s">
        <v>138</v>
      </c>
      <c r="C25" s="303" t="s">
        <v>725</v>
      </c>
      <c r="D25" s="304"/>
      <c r="E25" s="304"/>
      <c r="F25" s="304"/>
      <c r="G25" s="304"/>
      <c r="H25" s="304"/>
      <c r="I25" s="304"/>
      <c r="J25" s="304"/>
      <c r="K25" s="304"/>
      <c r="L25" s="304"/>
      <c r="M25" s="305"/>
    </row>
    <row r="26" spans="1:74" x14ac:dyDescent="0.25">
      <c r="A26" s="92" t="s">
        <v>168</v>
      </c>
      <c r="B26" s="69" t="s">
        <v>493</v>
      </c>
      <c r="C26" s="306" t="s">
        <v>726</v>
      </c>
      <c r="D26" s="307"/>
      <c r="E26" s="69" t="s">
        <v>166</v>
      </c>
      <c r="F26" s="77">
        <v>11.38</v>
      </c>
      <c r="G26" s="218">
        <v>0</v>
      </c>
      <c r="H26" s="77">
        <f>F26*AM26</f>
        <v>0</v>
      </c>
      <c r="I26" s="77">
        <f>F26*AN26</f>
        <v>0</v>
      </c>
      <c r="J26" s="77">
        <f>F26*G26</f>
        <v>0</v>
      </c>
      <c r="K26" s="77">
        <v>0.90010000000000001</v>
      </c>
      <c r="L26" s="77">
        <f>F26*K26</f>
        <v>10.243138</v>
      </c>
      <c r="M26" s="103" t="s">
        <v>35</v>
      </c>
      <c r="X26" s="77">
        <f>IF(AO26="5",BH26,0)</f>
        <v>0</v>
      </c>
      <c r="Z26" s="77">
        <f>IF(AO26="1",BF26,0)</f>
        <v>0</v>
      </c>
      <c r="AA26" s="77">
        <f>IF(AO26="1",BG26,0)</f>
        <v>0</v>
      </c>
      <c r="AB26" s="77">
        <f>IF(AO26="7",BF26,0)</f>
        <v>0</v>
      </c>
      <c r="AC26" s="77">
        <f>IF(AO26="7",BG26,0)</f>
        <v>0</v>
      </c>
      <c r="AD26" s="77">
        <f>IF(AO26="2",BF26,0)</f>
        <v>0</v>
      </c>
      <c r="AE26" s="77">
        <f>IF(AO26="2",BG26,0)</f>
        <v>0</v>
      </c>
      <c r="AF26" s="77">
        <f>IF(AO26="0",BH26,0)</f>
        <v>0</v>
      </c>
      <c r="AG26" s="71" t="s">
        <v>129</v>
      </c>
      <c r="AH26" s="77">
        <f>IF(AL26=0,J26,0)</f>
        <v>0</v>
      </c>
      <c r="AI26" s="77">
        <f>IF(AL26=15,J26,0)</f>
        <v>0</v>
      </c>
      <c r="AJ26" s="77">
        <f>IF(AL26=21,J26,0)</f>
        <v>0</v>
      </c>
      <c r="AL26" s="77">
        <v>21</v>
      </c>
      <c r="AM26" s="77">
        <f>G26*0.006611208</f>
        <v>0</v>
      </c>
      <c r="AN26" s="77">
        <f>G26*(1-0.006611208)</f>
        <v>0</v>
      </c>
      <c r="AO26" s="79" t="s">
        <v>132</v>
      </c>
      <c r="AT26" s="77">
        <f>AU26+AV26</f>
        <v>0</v>
      </c>
      <c r="AU26" s="77">
        <f>F26*AM26</f>
        <v>0</v>
      </c>
      <c r="AV26" s="77">
        <f>F26*AN26</f>
        <v>0</v>
      </c>
      <c r="AW26" s="79" t="s">
        <v>146</v>
      </c>
      <c r="AX26" s="79" t="s">
        <v>147</v>
      </c>
      <c r="AY26" s="71" t="s">
        <v>137</v>
      </c>
      <c r="BA26" s="77">
        <f>AU26+AV26</f>
        <v>0</v>
      </c>
      <c r="BB26" s="77">
        <f>G26/(100-BC26)*100</f>
        <v>0</v>
      </c>
      <c r="BC26" s="77">
        <v>0</v>
      </c>
      <c r="BD26" s="77">
        <f>L26</f>
        <v>10.243138</v>
      </c>
      <c r="BF26" s="77">
        <f>F26*AM26</f>
        <v>0</v>
      </c>
      <c r="BG26" s="77">
        <f>F26*AN26</f>
        <v>0</v>
      </c>
      <c r="BH26" s="77">
        <f>F26*G26</f>
        <v>0</v>
      </c>
      <c r="BI26" s="77"/>
      <c r="BJ26" s="77">
        <v>11</v>
      </c>
      <c r="BU26" s="77" t="e">
        <f>#REF!</f>
        <v>#REF!</v>
      </c>
      <c r="BV26" s="70" t="s">
        <v>726</v>
      </c>
    </row>
    <row r="27" spans="1:74" ht="162" customHeight="1" thickBot="1" x14ac:dyDescent="0.3">
      <c r="A27" s="107"/>
      <c r="B27" s="108" t="s">
        <v>138</v>
      </c>
      <c r="C27" s="308" t="s">
        <v>727</v>
      </c>
      <c r="D27" s="309"/>
      <c r="E27" s="309"/>
      <c r="F27" s="309"/>
      <c r="G27" s="309"/>
      <c r="H27" s="309"/>
      <c r="I27" s="309"/>
      <c r="J27" s="309"/>
      <c r="K27" s="309"/>
      <c r="L27" s="309"/>
      <c r="M27" s="310"/>
    </row>
    <row r="28" spans="1:74" x14ac:dyDescent="0.25">
      <c r="A28" s="122" t="s">
        <v>174</v>
      </c>
      <c r="B28" s="109" t="s">
        <v>728</v>
      </c>
      <c r="C28" s="312" t="s">
        <v>729</v>
      </c>
      <c r="D28" s="313"/>
      <c r="E28" s="109" t="s">
        <v>166</v>
      </c>
      <c r="F28" s="123">
        <v>10.84</v>
      </c>
      <c r="G28" s="219">
        <v>0</v>
      </c>
      <c r="H28" s="123">
        <f>F28*AM28</f>
        <v>0</v>
      </c>
      <c r="I28" s="123">
        <f>F28*AN28</f>
        <v>0</v>
      </c>
      <c r="J28" s="123">
        <f>F28*G28</f>
        <v>0</v>
      </c>
      <c r="K28" s="123">
        <v>0.50600000000000001</v>
      </c>
      <c r="L28" s="123">
        <f>F28*K28</f>
        <v>5.4850399999999997</v>
      </c>
      <c r="M28" s="124" t="s">
        <v>35</v>
      </c>
      <c r="X28" s="77">
        <f>IF(AO28="5",BH28,0)</f>
        <v>0</v>
      </c>
      <c r="Z28" s="77">
        <f>IF(AO28="1",BF28,0)</f>
        <v>0</v>
      </c>
      <c r="AA28" s="77">
        <f>IF(AO28="1",BG28,0)</f>
        <v>0</v>
      </c>
      <c r="AB28" s="77">
        <f>IF(AO28="7",BF28,0)</f>
        <v>0</v>
      </c>
      <c r="AC28" s="77">
        <f>IF(AO28="7",BG28,0)</f>
        <v>0</v>
      </c>
      <c r="AD28" s="77">
        <f>IF(AO28="2",BF28,0)</f>
        <v>0</v>
      </c>
      <c r="AE28" s="77">
        <f>IF(AO28="2",BG28,0)</f>
        <v>0</v>
      </c>
      <c r="AF28" s="77">
        <f>IF(AO28="0",BH28,0)</f>
        <v>0</v>
      </c>
      <c r="AG28" s="71" t="s">
        <v>129</v>
      </c>
      <c r="AH28" s="77">
        <f>IF(AL28=0,J28,0)</f>
        <v>0</v>
      </c>
      <c r="AI28" s="77">
        <f>IF(AL28=15,J28,0)</f>
        <v>0</v>
      </c>
      <c r="AJ28" s="77">
        <f>IF(AL28=21,J28,0)</f>
        <v>0</v>
      </c>
      <c r="AL28" s="77">
        <v>21</v>
      </c>
      <c r="AM28" s="77">
        <f>G28*0</f>
        <v>0</v>
      </c>
      <c r="AN28" s="77">
        <f>G28*(1-0)</f>
        <v>0</v>
      </c>
      <c r="AO28" s="79" t="s">
        <v>132</v>
      </c>
      <c r="AT28" s="77">
        <f>AU28+AV28</f>
        <v>0</v>
      </c>
      <c r="AU28" s="77">
        <f>F28*AM28</f>
        <v>0</v>
      </c>
      <c r="AV28" s="77">
        <f>F28*AN28</f>
        <v>0</v>
      </c>
      <c r="AW28" s="79" t="s">
        <v>146</v>
      </c>
      <c r="AX28" s="79" t="s">
        <v>147</v>
      </c>
      <c r="AY28" s="71" t="s">
        <v>137</v>
      </c>
      <c r="BA28" s="77">
        <f>AU28+AV28</f>
        <v>0</v>
      </c>
      <c r="BB28" s="77">
        <f>G28/(100-BC28)*100</f>
        <v>0</v>
      </c>
      <c r="BC28" s="77">
        <v>0</v>
      </c>
      <c r="BD28" s="77">
        <f>L28</f>
        <v>5.4850399999999997</v>
      </c>
      <c r="BF28" s="77">
        <f>F28*AM28</f>
        <v>0</v>
      </c>
      <c r="BG28" s="77">
        <f>F28*AN28</f>
        <v>0</v>
      </c>
      <c r="BH28" s="77">
        <f>F28*G28</f>
        <v>0</v>
      </c>
      <c r="BI28" s="77"/>
      <c r="BJ28" s="77">
        <v>11</v>
      </c>
      <c r="BU28" s="77" t="e">
        <f>#REF!</f>
        <v>#REF!</v>
      </c>
      <c r="BV28" s="70" t="s">
        <v>729</v>
      </c>
    </row>
    <row r="29" spans="1:74" ht="67.5" customHeight="1" x14ac:dyDescent="0.25">
      <c r="A29" s="104"/>
      <c r="B29" s="81" t="s">
        <v>138</v>
      </c>
      <c r="C29" s="303" t="s">
        <v>730</v>
      </c>
      <c r="D29" s="304"/>
      <c r="E29" s="304"/>
      <c r="F29" s="304"/>
      <c r="G29" s="304"/>
      <c r="H29" s="304"/>
      <c r="I29" s="304"/>
      <c r="J29" s="304"/>
      <c r="K29" s="304"/>
      <c r="L29" s="304"/>
      <c r="M29" s="305"/>
    </row>
    <row r="30" spans="1:74" x14ac:dyDescent="0.25">
      <c r="A30" s="92" t="s">
        <v>182</v>
      </c>
      <c r="B30" s="69" t="s">
        <v>493</v>
      </c>
      <c r="C30" s="306" t="s">
        <v>726</v>
      </c>
      <c r="D30" s="307"/>
      <c r="E30" s="69" t="s">
        <v>166</v>
      </c>
      <c r="F30" s="77">
        <v>8.19</v>
      </c>
      <c r="G30" s="218">
        <v>0</v>
      </c>
      <c r="H30" s="77">
        <f>F30*AM30</f>
        <v>0</v>
      </c>
      <c r="I30" s="77">
        <f>F30*AN30</f>
        <v>0</v>
      </c>
      <c r="J30" s="77">
        <f>F30*G30</f>
        <v>0</v>
      </c>
      <c r="K30" s="77">
        <v>0.90010000000000001</v>
      </c>
      <c r="L30" s="77">
        <f>F30*K30</f>
        <v>7.3718189999999995</v>
      </c>
      <c r="M30" s="103" t="s">
        <v>35</v>
      </c>
      <c r="X30" s="77">
        <f>IF(AO30="5",BH30,0)</f>
        <v>0</v>
      </c>
      <c r="Z30" s="77">
        <f>IF(AO30="1",BF30,0)</f>
        <v>0</v>
      </c>
      <c r="AA30" s="77">
        <f>IF(AO30="1",BG30,0)</f>
        <v>0</v>
      </c>
      <c r="AB30" s="77">
        <f>IF(AO30="7",BF30,0)</f>
        <v>0</v>
      </c>
      <c r="AC30" s="77">
        <f>IF(AO30="7",BG30,0)</f>
        <v>0</v>
      </c>
      <c r="AD30" s="77">
        <f>IF(AO30="2",BF30,0)</f>
        <v>0</v>
      </c>
      <c r="AE30" s="77">
        <f>IF(AO30="2",BG30,0)</f>
        <v>0</v>
      </c>
      <c r="AF30" s="77">
        <f>IF(AO30="0",BH30,0)</f>
        <v>0</v>
      </c>
      <c r="AG30" s="71" t="s">
        <v>129</v>
      </c>
      <c r="AH30" s="77">
        <f>IF(AL30=0,J30,0)</f>
        <v>0</v>
      </c>
      <c r="AI30" s="77">
        <f>IF(AL30=15,J30,0)</f>
        <v>0</v>
      </c>
      <c r="AJ30" s="77">
        <f>IF(AL30=21,J30,0)</f>
        <v>0</v>
      </c>
      <c r="AL30" s="77">
        <v>21</v>
      </c>
      <c r="AM30" s="77">
        <f>G30*0.006611208</f>
        <v>0</v>
      </c>
      <c r="AN30" s="77">
        <f>G30*(1-0.006611208)</f>
        <v>0</v>
      </c>
      <c r="AO30" s="79" t="s">
        <v>132</v>
      </c>
      <c r="AT30" s="77">
        <f>AU30+AV30</f>
        <v>0</v>
      </c>
      <c r="AU30" s="77">
        <f>F30*AM30</f>
        <v>0</v>
      </c>
      <c r="AV30" s="77">
        <f>F30*AN30</f>
        <v>0</v>
      </c>
      <c r="AW30" s="79" t="s">
        <v>146</v>
      </c>
      <c r="AX30" s="79" t="s">
        <v>147</v>
      </c>
      <c r="AY30" s="71" t="s">
        <v>137</v>
      </c>
      <c r="BA30" s="77">
        <f>AU30+AV30</f>
        <v>0</v>
      </c>
      <c r="BB30" s="77">
        <f>G30/(100-BC30)*100</f>
        <v>0</v>
      </c>
      <c r="BC30" s="77">
        <v>0</v>
      </c>
      <c r="BD30" s="77">
        <f>L30</f>
        <v>7.3718189999999995</v>
      </c>
      <c r="BF30" s="77">
        <f>F30*AM30</f>
        <v>0</v>
      </c>
      <c r="BG30" s="77">
        <f>F30*AN30</f>
        <v>0</v>
      </c>
      <c r="BH30" s="77">
        <f>F30*G30</f>
        <v>0</v>
      </c>
      <c r="BI30" s="77"/>
      <c r="BJ30" s="77">
        <v>11</v>
      </c>
      <c r="BU30" s="77" t="e">
        <f>#REF!</f>
        <v>#REF!</v>
      </c>
      <c r="BV30" s="70" t="s">
        <v>726</v>
      </c>
    </row>
    <row r="31" spans="1:74" ht="135" customHeight="1" x14ac:dyDescent="0.25">
      <c r="A31" s="104"/>
      <c r="B31" s="81" t="s">
        <v>138</v>
      </c>
      <c r="C31" s="303" t="s">
        <v>731</v>
      </c>
      <c r="D31" s="304"/>
      <c r="E31" s="304"/>
      <c r="F31" s="304"/>
      <c r="G31" s="304"/>
      <c r="H31" s="304"/>
      <c r="I31" s="304"/>
      <c r="J31" s="304"/>
      <c r="K31" s="304"/>
      <c r="L31" s="304"/>
      <c r="M31" s="305"/>
    </row>
    <row r="32" spans="1:74" x14ac:dyDescent="0.25">
      <c r="A32" s="105" t="s">
        <v>129</v>
      </c>
      <c r="B32" s="74" t="s">
        <v>172</v>
      </c>
      <c r="C32" s="314" t="s">
        <v>173</v>
      </c>
      <c r="D32" s="315"/>
      <c r="E32" s="75" t="s">
        <v>87</v>
      </c>
      <c r="F32" s="75" t="s">
        <v>87</v>
      </c>
      <c r="G32" s="75" t="s">
        <v>87</v>
      </c>
      <c r="H32" s="67">
        <f>SUM(H33:H35)</f>
        <v>0</v>
      </c>
      <c r="I32" s="67">
        <f>SUM(I33:I35)</f>
        <v>0</v>
      </c>
      <c r="J32" s="67">
        <f>SUM(J33:J35)</f>
        <v>0</v>
      </c>
      <c r="K32" s="71" t="s">
        <v>129</v>
      </c>
      <c r="L32" s="67">
        <f>SUM(L33:L35)</f>
        <v>0</v>
      </c>
      <c r="M32" s="106" t="s">
        <v>129</v>
      </c>
      <c r="AG32" s="71" t="s">
        <v>129</v>
      </c>
      <c r="AQ32" s="67">
        <f>SUM(AH33:AH35)</f>
        <v>0</v>
      </c>
      <c r="AR32" s="67">
        <f>SUM(AI33:AI35)</f>
        <v>0</v>
      </c>
      <c r="AS32" s="67">
        <f>SUM(AJ33:AJ35)</f>
        <v>0</v>
      </c>
    </row>
    <row r="33" spans="1:74" x14ac:dyDescent="0.25">
      <c r="A33" s="92" t="s">
        <v>187</v>
      </c>
      <c r="B33" s="69" t="s">
        <v>175</v>
      </c>
      <c r="C33" s="306" t="s">
        <v>176</v>
      </c>
      <c r="D33" s="307"/>
      <c r="E33" s="69" t="s">
        <v>177</v>
      </c>
      <c r="F33" s="77">
        <v>1</v>
      </c>
      <c r="G33" s="218">
        <v>0</v>
      </c>
      <c r="H33" s="77">
        <f>F33*AM33</f>
        <v>0</v>
      </c>
      <c r="I33" s="77">
        <f>F33*AN33</f>
        <v>0</v>
      </c>
      <c r="J33" s="77">
        <f>F33*G33</f>
        <v>0</v>
      </c>
      <c r="K33" s="77">
        <v>0</v>
      </c>
      <c r="L33" s="77">
        <f>F33*K33</f>
        <v>0</v>
      </c>
      <c r="M33" s="103" t="s">
        <v>35</v>
      </c>
      <c r="X33" s="77">
        <f>IF(AO33="5",BH33,0)</f>
        <v>0</v>
      </c>
      <c r="Z33" s="77">
        <f>IF(AO33="1",BF33,0)</f>
        <v>0</v>
      </c>
      <c r="AA33" s="77">
        <f>IF(AO33="1",BG33,0)</f>
        <v>0</v>
      </c>
      <c r="AB33" s="77">
        <f>IF(AO33="7",BF33,0)</f>
        <v>0</v>
      </c>
      <c r="AC33" s="77">
        <f>IF(AO33="7",BG33,0)</f>
        <v>0</v>
      </c>
      <c r="AD33" s="77">
        <f>IF(AO33="2",BF33,0)</f>
        <v>0</v>
      </c>
      <c r="AE33" s="77">
        <f>IF(AO33="2",BG33,0)</f>
        <v>0</v>
      </c>
      <c r="AF33" s="77">
        <f>IF(AO33="0",BH33,0)</f>
        <v>0</v>
      </c>
      <c r="AG33" s="71" t="s">
        <v>129</v>
      </c>
      <c r="AH33" s="77">
        <f>IF(AL33=0,J33,0)</f>
        <v>0</v>
      </c>
      <c r="AI33" s="77">
        <f>IF(AL33=15,J33,0)</f>
        <v>0</v>
      </c>
      <c r="AJ33" s="77">
        <f>IF(AL33=21,J33,0)</f>
        <v>0</v>
      </c>
      <c r="AL33" s="77">
        <v>21</v>
      </c>
      <c r="AM33" s="77">
        <f>G33*0</f>
        <v>0</v>
      </c>
      <c r="AN33" s="77">
        <f>G33*(1-0)</f>
        <v>0</v>
      </c>
      <c r="AO33" s="79" t="s">
        <v>132</v>
      </c>
      <c r="AT33" s="77">
        <f>AU33+AV33</f>
        <v>0</v>
      </c>
      <c r="AU33" s="77">
        <f>F33*AM33</f>
        <v>0</v>
      </c>
      <c r="AV33" s="77">
        <f>F33*AN33</f>
        <v>0</v>
      </c>
      <c r="AW33" s="79" t="s">
        <v>178</v>
      </c>
      <c r="AX33" s="79" t="s">
        <v>147</v>
      </c>
      <c r="AY33" s="71" t="s">
        <v>137</v>
      </c>
      <c r="BA33" s="77">
        <f>AU33+AV33</f>
        <v>0</v>
      </c>
      <c r="BB33" s="77">
        <f>G33/(100-BC33)*100</f>
        <v>0</v>
      </c>
      <c r="BC33" s="77">
        <v>0</v>
      </c>
      <c r="BD33" s="77">
        <f>L33</f>
        <v>0</v>
      </c>
      <c r="BF33" s="77">
        <f>F33*AM33</f>
        <v>0</v>
      </c>
      <c r="BG33" s="77">
        <f>F33*AN33</f>
        <v>0</v>
      </c>
      <c r="BH33" s="77">
        <f>F33*G33</f>
        <v>0</v>
      </c>
      <c r="BI33" s="77"/>
      <c r="BJ33" s="77">
        <v>12</v>
      </c>
      <c r="BU33" s="77" t="e">
        <f>#REF!</f>
        <v>#REF!</v>
      </c>
      <c r="BV33" s="70" t="s">
        <v>176</v>
      </c>
    </row>
    <row r="34" spans="1:74" ht="13.5" customHeight="1" x14ac:dyDescent="0.25">
      <c r="A34" s="104"/>
      <c r="B34" s="81" t="s">
        <v>138</v>
      </c>
      <c r="C34" s="303" t="s">
        <v>179</v>
      </c>
      <c r="D34" s="304"/>
      <c r="E34" s="304"/>
      <c r="F34" s="304"/>
      <c r="G34" s="304"/>
      <c r="H34" s="304"/>
      <c r="I34" s="304"/>
      <c r="J34" s="304"/>
      <c r="K34" s="304"/>
      <c r="L34" s="304"/>
      <c r="M34" s="305"/>
    </row>
    <row r="35" spans="1:74" x14ac:dyDescent="0.25">
      <c r="A35" s="92" t="s">
        <v>140</v>
      </c>
      <c r="B35" s="69" t="s">
        <v>732</v>
      </c>
      <c r="C35" s="306" t="s">
        <v>733</v>
      </c>
      <c r="D35" s="307"/>
      <c r="E35" s="69" t="s">
        <v>177</v>
      </c>
      <c r="F35" s="77">
        <v>0.35</v>
      </c>
      <c r="G35" s="218">
        <v>0</v>
      </c>
      <c r="H35" s="77">
        <f>F35*AM35</f>
        <v>0</v>
      </c>
      <c r="I35" s="77">
        <f>F35*AN35</f>
        <v>0</v>
      </c>
      <c r="J35" s="77">
        <f>F35*G35</f>
        <v>0</v>
      </c>
      <c r="K35" s="77">
        <v>0</v>
      </c>
      <c r="L35" s="77">
        <f>F35*K35</f>
        <v>0</v>
      </c>
      <c r="M35" s="103" t="s">
        <v>35</v>
      </c>
      <c r="X35" s="77">
        <f>IF(AO35="5",BH35,0)</f>
        <v>0</v>
      </c>
      <c r="Z35" s="77">
        <f>IF(AO35="1",BF35,0)</f>
        <v>0</v>
      </c>
      <c r="AA35" s="77">
        <f>IF(AO35="1",BG35,0)</f>
        <v>0</v>
      </c>
      <c r="AB35" s="77">
        <f>IF(AO35="7",BF35,0)</f>
        <v>0</v>
      </c>
      <c r="AC35" s="77">
        <f>IF(AO35="7",BG35,0)</f>
        <v>0</v>
      </c>
      <c r="AD35" s="77">
        <f>IF(AO35="2",BF35,0)</f>
        <v>0</v>
      </c>
      <c r="AE35" s="77">
        <f>IF(AO35="2",BG35,0)</f>
        <v>0</v>
      </c>
      <c r="AF35" s="77">
        <f>IF(AO35="0",BH35,0)</f>
        <v>0</v>
      </c>
      <c r="AG35" s="71" t="s">
        <v>129</v>
      </c>
      <c r="AH35" s="77">
        <f>IF(AL35=0,J35,0)</f>
        <v>0</v>
      </c>
      <c r="AI35" s="77">
        <f>IF(AL35=15,J35,0)</f>
        <v>0</v>
      </c>
      <c r="AJ35" s="77">
        <f>IF(AL35=21,J35,0)</f>
        <v>0</v>
      </c>
      <c r="AL35" s="77">
        <v>21</v>
      </c>
      <c r="AM35" s="77">
        <f>G35*0</f>
        <v>0</v>
      </c>
      <c r="AN35" s="77">
        <f>G35*(1-0)</f>
        <v>0</v>
      </c>
      <c r="AO35" s="79" t="s">
        <v>132</v>
      </c>
      <c r="AT35" s="77">
        <f>AU35+AV35</f>
        <v>0</v>
      </c>
      <c r="AU35" s="77">
        <f>F35*AM35</f>
        <v>0</v>
      </c>
      <c r="AV35" s="77">
        <f>F35*AN35</f>
        <v>0</v>
      </c>
      <c r="AW35" s="79" t="s">
        <v>178</v>
      </c>
      <c r="AX35" s="79" t="s">
        <v>147</v>
      </c>
      <c r="AY35" s="71" t="s">
        <v>137</v>
      </c>
      <c r="BA35" s="77">
        <f>AU35+AV35</f>
        <v>0</v>
      </c>
      <c r="BB35" s="77">
        <f>G35/(100-BC35)*100</f>
        <v>0</v>
      </c>
      <c r="BC35" s="77">
        <v>0</v>
      </c>
      <c r="BD35" s="77">
        <f>L35</f>
        <v>0</v>
      </c>
      <c r="BF35" s="77">
        <f>F35*AM35</f>
        <v>0</v>
      </c>
      <c r="BG35" s="77">
        <f>F35*AN35</f>
        <v>0</v>
      </c>
      <c r="BH35" s="77">
        <f>F35*G35</f>
        <v>0</v>
      </c>
      <c r="BI35" s="77"/>
      <c r="BJ35" s="77">
        <v>12</v>
      </c>
      <c r="BU35" s="77" t="e">
        <f>#REF!</f>
        <v>#REF!</v>
      </c>
      <c r="BV35" s="70" t="s">
        <v>733</v>
      </c>
    </row>
    <row r="36" spans="1:74" ht="40.5" customHeight="1" x14ac:dyDescent="0.25">
      <c r="A36" s="104"/>
      <c r="B36" s="81" t="s">
        <v>138</v>
      </c>
      <c r="C36" s="303" t="s">
        <v>734</v>
      </c>
      <c r="D36" s="304"/>
      <c r="E36" s="304"/>
      <c r="F36" s="304"/>
      <c r="G36" s="304"/>
      <c r="H36" s="304"/>
      <c r="I36" s="304"/>
      <c r="J36" s="304"/>
      <c r="K36" s="304"/>
      <c r="L36" s="304"/>
      <c r="M36" s="305"/>
    </row>
    <row r="37" spans="1:74" x14ac:dyDescent="0.25">
      <c r="A37" s="105" t="s">
        <v>129</v>
      </c>
      <c r="B37" s="74" t="s">
        <v>180</v>
      </c>
      <c r="C37" s="314" t="s">
        <v>181</v>
      </c>
      <c r="D37" s="315"/>
      <c r="E37" s="75" t="s">
        <v>87</v>
      </c>
      <c r="F37" s="75" t="s">
        <v>87</v>
      </c>
      <c r="G37" s="75" t="s">
        <v>87</v>
      </c>
      <c r="H37" s="67">
        <f>SUM(H38:H50)</f>
        <v>0</v>
      </c>
      <c r="I37" s="67">
        <f>SUM(I38:I50)</f>
        <v>0</v>
      </c>
      <c r="J37" s="67">
        <f>SUM(J38:J50)</f>
        <v>0</v>
      </c>
      <c r="K37" s="71" t="s">
        <v>129</v>
      </c>
      <c r="L37" s="67">
        <f>SUM(L38:L50)</f>
        <v>0</v>
      </c>
      <c r="M37" s="106" t="s">
        <v>129</v>
      </c>
      <c r="AG37" s="71" t="s">
        <v>129</v>
      </c>
      <c r="AQ37" s="67">
        <f>SUM(AH38:AH50)</f>
        <v>0</v>
      </c>
      <c r="AR37" s="67">
        <f>SUM(AI38:AI50)</f>
        <v>0</v>
      </c>
      <c r="AS37" s="67">
        <f>SUM(AJ38:AJ50)</f>
        <v>0</v>
      </c>
    </row>
    <row r="38" spans="1:74" x14ac:dyDescent="0.25">
      <c r="A38" s="92" t="s">
        <v>172</v>
      </c>
      <c r="B38" s="69" t="s">
        <v>183</v>
      </c>
      <c r="C38" s="306" t="s">
        <v>184</v>
      </c>
      <c r="D38" s="307"/>
      <c r="E38" s="69" t="s">
        <v>177</v>
      </c>
      <c r="F38" s="77">
        <v>7.68</v>
      </c>
      <c r="G38" s="218">
        <v>0</v>
      </c>
      <c r="H38" s="77">
        <f>F38*AM38</f>
        <v>0</v>
      </c>
      <c r="I38" s="77">
        <f>F38*AN38</f>
        <v>0</v>
      </c>
      <c r="J38" s="77">
        <f>F38*G38</f>
        <v>0</v>
      </c>
      <c r="K38" s="77">
        <v>0</v>
      </c>
      <c r="L38" s="77">
        <f>F38*K38</f>
        <v>0</v>
      </c>
      <c r="M38" s="103" t="s">
        <v>35</v>
      </c>
      <c r="X38" s="77">
        <f>IF(AO38="5",BH38,0)</f>
        <v>0</v>
      </c>
      <c r="Z38" s="77">
        <f>IF(AO38="1",BF38,0)</f>
        <v>0</v>
      </c>
      <c r="AA38" s="77">
        <f>IF(AO38="1",BG38,0)</f>
        <v>0</v>
      </c>
      <c r="AB38" s="77">
        <f>IF(AO38="7",BF38,0)</f>
        <v>0</v>
      </c>
      <c r="AC38" s="77">
        <f>IF(AO38="7",BG38,0)</f>
        <v>0</v>
      </c>
      <c r="AD38" s="77">
        <f>IF(AO38="2",BF38,0)</f>
        <v>0</v>
      </c>
      <c r="AE38" s="77">
        <f>IF(AO38="2",BG38,0)</f>
        <v>0</v>
      </c>
      <c r="AF38" s="77">
        <f>IF(AO38="0",BH38,0)</f>
        <v>0</v>
      </c>
      <c r="AG38" s="71" t="s">
        <v>129</v>
      </c>
      <c r="AH38" s="77">
        <f>IF(AL38=0,J38,0)</f>
        <v>0</v>
      </c>
      <c r="AI38" s="77">
        <f>IF(AL38=15,J38,0)</f>
        <v>0</v>
      </c>
      <c r="AJ38" s="77">
        <f>IF(AL38=21,J38,0)</f>
        <v>0</v>
      </c>
      <c r="AL38" s="77">
        <v>21</v>
      </c>
      <c r="AM38" s="77">
        <f>G38*0</f>
        <v>0</v>
      </c>
      <c r="AN38" s="77">
        <f>G38*(1-0)</f>
        <v>0</v>
      </c>
      <c r="AO38" s="79" t="s">
        <v>132</v>
      </c>
      <c r="AT38" s="77">
        <f>AU38+AV38</f>
        <v>0</v>
      </c>
      <c r="AU38" s="77">
        <f>F38*AM38</f>
        <v>0</v>
      </c>
      <c r="AV38" s="77">
        <f>F38*AN38</f>
        <v>0</v>
      </c>
      <c r="AW38" s="79" t="s">
        <v>185</v>
      </c>
      <c r="AX38" s="79" t="s">
        <v>147</v>
      </c>
      <c r="AY38" s="71" t="s">
        <v>137</v>
      </c>
      <c r="BA38" s="77">
        <f>AU38+AV38</f>
        <v>0</v>
      </c>
      <c r="BB38" s="77">
        <f>G38/(100-BC38)*100</f>
        <v>0</v>
      </c>
      <c r="BC38" s="77">
        <v>0</v>
      </c>
      <c r="BD38" s="77">
        <f>L38</f>
        <v>0</v>
      </c>
      <c r="BF38" s="77">
        <f>F38*AM38</f>
        <v>0</v>
      </c>
      <c r="BG38" s="77">
        <f>F38*AN38</f>
        <v>0</v>
      </c>
      <c r="BH38" s="77">
        <f>F38*G38</f>
        <v>0</v>
      </c>
      <c r="BI38" s="77"/>
      <c r="BJ38" s="77">
        <v>13</v>
      </c>
      <c r="BU38" s="77" t="e">
        <f>#REF!</f>
        <v>#REF!</v>
      </c>
      <c r="BV38" s="70" t="s">
        <v>184</v>
      </c>
    </row>
    <row r="39" spans="1:74" ht="94.5" customHeight="1" x14ac:dyDescent="0.25">
      <c r="A39" s="104"/>
      <c r="B39" s="81" t="s">
        <v>138</v>
      </c>
      <c r="C39" s="303" t="s">
        <v>735</v>
      </c>
      <c r="D39" s="304"/>
      <c r="E39" s="304"/>
      <c r="F39" s="304"/>
      <c r="G39" s="304"/>
      <c r="H39" s="304"/>
      <c r="I39" s="304"/>
      <c r="J39" s="304"/>
      <c r="K39" s="304"/>
      <c r="L39" s="304"/>
      <c r="M39" s="305"/>
    </row>
    <row r="40" spans="1:74" x14ac:dyDescent="0.25">
      <c r="A40" s="92" t="s">
        <v>180</v>
      </c>
      <c r="B40" s="69" t="s">
        <v>188</v>
      </c>
      <c r="C40" s="306" t="s">
        <v>189</v>
      </c>
      <c r="D40" s="307"/>
      <c r="E40" s="69" t="s">
        <v>177</v>
      </c>
      <c r="F40" s="77">
        <v>3.84</v>
      </c>
      <c r="G40" s="218">
        <v>0</v>
      </c>
      <c r="H40" s="77">
        <f>F40*AM40</f>
        <v>0</v>
      </c>
      <c r="I40" s="77">
        <f>F40*AN40</f>
        <v>0</v>
      </c>
      <c r="J40" s="77">
        <f>F40*G40</f>
        <v>0</v>
      </c>
      <c r="K40" s="77">
        <v>0</v>
      </c>
      <c r="L40" s="77">
        <f>F40*K40</f>
        <v>0</v>
      </c>
      <c r="M40" s="103" t="s">
        <v>35</v>
      </c>
      <c r="X40" s="77">
        <f>IF(AO40="5",BH40,0)</f>
        <v>0</v>
      </c>
      <c r="Z40" s="77">
        <f>IF(AO40="1",BF40,0)</f>
        <v>0</v>
      </c>
      <c r="AA40" s="77">
        <f>IF(AO40="1",BG40,0)</f>
        <v>0</v>
      </c>
      <c r="AB40" s="77">
        <f>IF(AO40="7",BF40,0)</f>
        <v>0</v>
      </c>
      <c r="AC40" s="77">
        <f>IF(AO40="7",BG40,0)</f>
        <v>0</v>
      </c>
      <c r="AD40" s="77">
        <f>IF(AO40="2",BF40,0)</f>
        <v>0</v>
      </c>
      <c r="AE40" s="77">
        <f>IF(AO40="2",BG40,0)</f>
        <v>0</v>
      </c>
      <c r="AF40" s="77">
        <f>IF(AO40="0",BH40,0)</f>
        <v>0</v>
      </c>
      <c r="AG40" s="71" t="s">
        <v>129</v>
      </c>
      <c r="AH40" s="77">
        <f>IF(AL40=0,J40,0)</f>
        <v>0</v>
      </c>
      <c r="AI40" s="77">
        <f>IF(AL40=15,J40,0)</f>
        <v>0</v>
      </c>
      <c r="AJ40" s="77">
        <f>IF(AL40=21,J40,0)</f>
        <v>0</v>
      </c>
      <c r="AL40" s="77">
        <v>21</v>
      </c>
      <c r="AM40" s="77">
        <f>G40*0</f>
        <v>0</v>
      </c>
      <c r="AN40" s="77">
        <f>G40*(1-0)</f>
        <v>0</v>
      </c>
      <c r="AO40" s="79" t="s">
        <v>132</v>
      </c>
      <c r="AT40" s="77">
        <f>AU40+AV40</f>
        <v>0</v>
      </c>
      <c r="AU40" s="77">
        <f>F40*AM40</f>
        <v>0</v>
      </c>
      <c r="AV40" s="77">
        <f>F40*AN40</f>
        <v>0</v>
      </c>
      <c r="AW40" s="79" t="s">
        <v>185</v>
      </c>
      <c r="AX40" s="79" t="s">
        <v>147</v>
      </c>
      <c r="AY40" s="71" t="s">
        <v>137</v>
      </c>
      <c r="BA40" s="77">
        <f>AU40+AV40</f>
        <v>0</v>
      </c>
      <c r="BB40" s="77">
        <f>G40/(100-BC40)*100</f>
        <v>0</v>
      </c>
      <c r="BC40" s="77">
        <v>0</v>
      </c>
      <c r="BD40" s="77">
        <f>L40</f>
        <v>0</v>
      </c>
      <c r="BF40" s="77">
        <f>F40*AM40</f>
        <v>0</v>
      </c>
      <c r="BG40" s="77">
        <f>F40*AN40</f>
        <v>0</v>
      </c>
      <c r="BH40" s="77">
        <f>F40*G40</f>
        <v>0</v>
      </c>
      <c r="BI40" s="77"/>
      <c r="BJ40" s="77">
        <v>13</v>
      </c>
      <c r="BU40" s="77" t="e">
        <f>#REF!</f>
        <v>#REF!</v>
      </c>
      <c r="BV40" s="70" t="s">
        <v>189</v>
      </c>
    </row>
    <row r="41" spans="1:74" ht="40.5" customHeight="1" x14ac:dyDescent="0.25">
      <c r="A41" s="104"/>
      <c r="B41" s="81" t="s">
        <v>138</v>
      </c>
      <c r="C41" s="303" t="s">
        <v>736</v>
      </c>
      <c r="D41" s="304"/>
      <c r="E41" s="304"/>
      <c r="F41" s="304"/>
      <c r="G41" s="304"/>
      <c r="H41" s="304"/>
      <c r="I41" s="304"/>
      <c r="J41" s="304"/>
      <c r="K41" s="304"/>
      <c r="L41" s="304"/>
      <c r="M41" s="305"/>
    </row>
    <row r="42" spans="1:74" x14ac:dyDescent="0.25">
      <c r="A42" s="92" t="s">
        <v>200</v>
      </c>
      <c r="B42" s="69" t="s">
        <v>191</v>
      </c>
      <c r="C42" s="306" t="s">
        <v>192</v>
      </c>
      <c r="D42" s="307"/>
      <c r="E42" s="69" t="s">
        <v>177</v>
      </c>
      <c r="F42" s="77">
        <v>7.68</v>
      </c>
      <c r="G42" s="218">
        <v>0</v>
      </c>
      <c r="H42" s="77">
        <f>F42*AM42</f>
        <v>0</v>
      </c>
      <c r="I42" s="77">
        <f>F42*AN42</f>
        <v>0</v>
      </c>
      <c r="J42" s="77">
        <f>F42*G42</f>
        <v>0</v>
      </c>
      <c r="K42" s="77">
        <v>0</v>
      </c>
      <c r="L42" s="77">
        <f>F42*K42</f>
        <v>0</v>
      </c>
      <c r="M42" s="103" t="s">
        <v>35</v>
      </c>
      <c r="X42" s="77">
        <f>IF(AO42="5",BH42,0)</f>
        <v>0</v>
      </c>
      <c r="Z42" s="77">
        <f>IF(AO42="1",BF42,0)</f>
        <v>0</v>
      </c>
      <c r="AA42" s="77">
        <f>IF(AO42="1",BG42,0)</f>
        <v>0</v>
      </c>
      <c r="AB42" s="77">
        <f>IF(AO42="7",BF42,0)</f>
        <v>0</v>
      </c>
      <c r="AC42" s="77">
        <f>IF(AO42="7",BG42,0)</f>
        <v>0</v>
      </c>
      <c r="AD42" s="77">
        <f>IF(AO42="2",BF42,0)</f>
        <v>0</v>
      </c>
      <c r="AE42" s="77">
        <f>IF(AO42="2",BG42,0)</f>
        <v>0</v>
      </c>
      <c r="AF42" s="77">
        <f>IF(AO42="0",BH42,0)</f>
        <v>0</v>
      </c>
      <c r="AG42" s="71" t="s">
        <v>129</v>
      </c>
      <c r="AH42" s="77">
        <f>IF(AL42=0,J42,0)</f>
        <v>0</v>
      </c>
      <c r="AI42" s="77">
        <f>IF(AL42=15,J42,0)</f>
        <v>0</v>
      </c>
      <c r="AJ42" s="77">
        <f>IF(AL42=21,J42,0)</f>
        <v>0</v>
      </c>
      <c r="AL42" s="77">
        <v>21</v>
      </c>
      <c r="AM42" s="77">
        <f>G42*0</f>
        <v>0</v>
      </c>
      <c r="AN42" s="77">
        <f>G42*(1-0)</f>
        <v>0</v>
      </c>
      <c r="AO42" s="79" t="s">
        <v>132</v>
      </c>
      <c r="AT42" s="77">
        <f>AU42+AV42</f>
        <v>0</v>
      </c>
      <c r="AU42" s="77">
        <f>F42*AM42</f>
        <v>0</v>
      </c>
      <c r="AV42" s="77">
        <f>F42*AN42</f>
        <v>0</v>
      </c>
      <c r="AW42" s="79" t="s">
        <v>185</v>
      </c>
      <c r="AX42" s="79" t="s">
        <v>147</v>
      </c>
      <c r="AY42" s="71" t="s">
        <v>137</v>
      </c>
      <c r="BA42" s="77">
        <f>AU42+AV42</f>
        <v>0</v>
      </c>
      <c r="BB42" s="77">
        <f>G42/(100-BC42)*100</f>
        <v>0</v>
      </c>
      <c r="BC42" s="77">
        <v>0</v>
      </c>
      <c r="BD42" s="77">
        <f>L42</f>
        <v>0</v>
      </c>
      <c r="BF42" s="77">
        <f>F42*AM42</f>
        <v>0</v>
      </c>
      <c r="BG42" s="77">
        <f>F42*AN42</f>
        <v>0</v>
      </c>
      <c r="BH42" s="77">
        <f>F42*G42</f>
        <v>0</v>
      </c>
      <c r="BI42" s="77"/>
      <c r="BJ42" s="77">
        <v>13</v>
      </c>
      <c r="BU42" s="77" t="e">
        <f>#REF!</f>
        <v>#REF!</v>
      </c>
      <c r="BV42" s="70" t="s">
        <v>192</v>
      </c>
    </row>
    <row r="43" spans="1:74" ht="94.5" customHeight="1" x14ac:dyDescent="0.25">
      <c r="A43" s="104"/>
      <c r="B43" s="81" t="s">
        <v>138</v>
      </c>
      <c r="C43" s="303" t="s">
        <v>737</v>
      </c>
      <c r="D43" s="304"/>
      <c r="E43" s="304"/>
      <c r="F43" s="304"/>
      <c r="G43" s="304"/>
      <c r="H43" s="304"/>
      <c r="I43" s="304"/>
      <c r="J43" s="304"/>
      <c r="K43" s="304"/>
      <c r="L43" s="304"/>
      <c r="M43" s="305"/>
    </row>
    <row r="44" spans="1:74" x14ac:dyDescent="0.25">
      <c r="A44" s="92" t="s">
        <v>204</v>
      </c>
      <c r="B44" s="69" t="s">
        <v>194</v>
      </c>
      <c r="C44" s="306" t="s">
        <v>195</v>
      </c>
      <c r="D44" s="307"/>
      <c r="E44" s="69" t="s">
        <v>177</v>
      </c>
      <c r="F44" s="77">
        <v>1.92</v>
      </c>
      <c r="G44" s="218">
        <v>0</v>
      </c>
      <c r="H44" s="77">
        <f>F44*AM44</f>
        <v>0</v>
      </c>
      <c r="I44" s="77">
        <f>F44*AN44</f>
        <v>0</v>
      </c>
      <c r="J44" s="77">
        <f>F44*G44</f>
        <v>0</v>
      </c>
      <c r="K44" s="77">
        <v>0</v>
      </c>
      <c r="L44" s="77">
        <f>F44*K44</f>
        <v>0</v>
      </c>
      <c r="M44" s="103" t="s">
        <v>35</v>
      </c>
      <c r="X44" s="77">
        <f>IF(AO44="5",BH44,0)</f>
        <v>0</v>
      </c>
      <c r="Z44" s="77">
        <f>IF(AO44="1",BF44,0)</f>
        <v>0</v>
      </c>
      <c r="AA44" s="77">
        <f>IF(AO44="1",BG44,0)</f>
        <v>0</v>
      </c>
      <c r="AB44" s="77">
        <f>IF(AO44="7",BF44,0)</f>
        <v>0</v>
      </c>
      <c r="AC44" s="77">
        <f>IF(AO44="7",BG44,0)</f>
        <v>0</v>
      </c>
      <c r="AD44" s="77">
        <f>IF(AO44="2",BF44,0)</f>
        <v>0</v>
      </c>
      <c r="AE44" s="77">
        <f>IF(AO44="2",BG44,0)</f>
        <v>0</v>
      </c>
      <c r="AF44" s="77">
        <f>IF(AO44="0",BH44,0)</f>
        <v>0</v>
      </c>
      <c r="AG44" s="71" t="s">
        <v>129</v>
      </c>
      <c r="AH44" s="77">
        <f>IF(AL44=0,J44,0)</f>
        <v>0</v>
      </c>
      <c r="AI44" s="77">
        <f>IF(AL44=15,J44,0)</f>
        <v>0</v>
      </c>
      <c r="AJ44" s="77">
        <f>IF(AL44=21,J44,0)</f>
        <v>0</v>
      </c>
      <c r="AL44" s="77">
        <v>21</v>
      </c>
      <c r="AM44" s="77">
        <f>G44*0</f>
        <v>0</v>
      </c>
      <c r="AN44" s="77">
        <f>G44*(1-0)</f>
        <v>0</v>
      </c>
      <c r="AO44" s="79" t="s">
        <v>132</v>
      </c>
      <c r="AT44" s="77">
        <f>AU44+AV44</f>
        <v>0</v>
      </c>
      <c r="AU44" s="77">
        <f>F44*AM44</f>
        <v>0</v>
      </c>
      <c r="AV44" s="77">
        <f>F44*AN44</f>
        <v>0</v>
      </c>
      <c r="AW44" s="79" t="s">
        <v>185</v>
      </c>
      <c r="AX44" s="79" t="s">
        <v>147</v>
      </c>
      <c r="AY44" s="71" t="s">
        <v>137</v>
      </c>
      <c r="BA44" s="77">
        <f>AU44+AV44</f>
        <v>0</v>
      </c>
      <c r="BB44" s="77">
        <f>G44/(100-BC44)*100</f>
        <v>0</v>
      </c>
      <c r="BC44" s="77">
        <v>0</v>
      </c>
      <c r="BD44" s="77">
        <f>L44</f>
        <v>0</v>
      </c>
      <c r="BF44" s="77">
        <f>F44*AM44</f>
        <v>0</v>
      </c>
      <c r="BG44" s="77">
        <f>F44*AN44</f>
        <v>0</v>
      </c>
      <c r="BH44" s="77">
        <f>F44*G44</f>
        <v>0</v>
      </c>
      <c r="BI44" s="77"/>
      <c r="BJ44" s="77">
        <v>13</v>
      </c>
      <c r="BU44" s="77" t="e">
        <f>#REF!</f>
        <v>#REF!</v>
      </c>
      <c r="BV44" s="70" t="s">
        <v>195</v>
      </c>
    </row>
    <row r="45" spans="1:74" ht="40.5" customHeight="1" x14ac:dyDescent="0.25">
      <c r="A45" s="104"/>
      <c r="B45" s="81" t="s">
        <v>138</v>
      </c>
      <c r="C45" s="303" t="s">
        <v>738</v>
      </c>
      <c r="D45" s="304"/>
      <c r="E45" s="304"/>
      <c r="F45" s="304"/>
      <c r="G45" s="304"/>
      <c r="H45" s="304"/>
      <c r="I45" s="304"/>
      <c r="J45" s="304"/>
      <c r="K45" s="304"/>
      <c r="L45" s="304"/>
      <c r="M45" s="305"/>
    </row>
    <row r="46" spans="1:74" x14ac:dyDescent="0.25">
      <c r="A46" s="92" t="s">
        <v>209</v>
      </c>
      <c r="B46" s="69" t="s">
        <v>197</v>
      </c>
      <c r="C46" s="306" t="s">
        <v>198</v>
      </c>
      <c r="D46" s="307"/>
      <c r="E46" s="69" t="s">
        <v>177</v>
      </c>
      <c r="F46" s="77">
        <v>3</v>
      </c>
      <c r="G46" s="218">
        <v>0</v>
      </c>
      <c r="H46" s="77">
        <f>F46*AM46</f>
        <v>0</v>
      </c>
      <c r="I46" s="77">
        <f>F46*AN46</f>
        <v>0</v>
      </c>
      <c r="J46" s="77">
        <f>F46*G46</f>
        <v>0</v>
      </c>
      <c r="K46" s="77">
        <v>0</v>
      </c>
      <c r="L46" s="77">
        <f>F46*K46</f>
        <v>0</v>
      </c>
      <c r="M46" s="103" t="s">
        <v>35</v>
      </c>
      <c r="X46" s="77">
        <f>IF(AO46="5",BH46,0)</f>
        <v>0</v>
      </c>
      <c r="Z46" s="77">
        <f>IF(AO46="1",BF46,0)</f>
        <v>0</v>
      </c>
      <c r="AA46" s="77">
        <f>IF(AO46="1",BG46,0)</f>
        <v>0</v>
      </c>
      <c r="AB46" s="77">
        <f>IF(AO46="7",BF46,0)</f>
        <v>0</v>
      </c>
      <c r="AC46" s="77">
        <f>IF(AO46="7",BG46,0)</f>
        <v>0</v>
      </c>
      <c r="AD46" s="77">
        <f>IF(AO46="2",BF46,0)</f>
        <v>0</v>
      </c>
      <c r="AE46" s="77">
        <f>IF(AO46="2",BG46,0)</f>
        <v>0</v>
      </c>
      <c r="AF46" s="77">
        <f>IF(AO46="0",BH46,0)</f>
        <v>0</v>
      </c>
      <c r="AG46" s="71" t="s">
        <v>129</v>
      </c>
      <c r="AH46" s="77">
        <f>IF(AL46=0,J46,0)</f>
        <v>0</v>
      </c>
      <c r="AI46" s="77">
        <f>IF(AL46=15,J46,0)</f>
        <v>0</v>
      </c>
      <c r="AJ46" s="77">
        <f>IF(AL46=21,J46,0)</f>
        <v>0</v>
      </c>
      <c r="AL46" s="77">
        <v>21</v>
      </c>
      <c r="AM46" s="77">
        <f>G46*0</f>
        <v>0</v>
      </c>
      <c r="AN46" s="77">
        <f>G46*(1-0)</f>
        <v>0</v>
      </c>
      <c r="AO46" s="79" t="s">
        <v>132</v>
      </c>
      <c r="AT46" s="77">
        <f>AU46+AV46</f>
        <v>0</v>
      </c>
      <c r="AU46" s="77">
        <f>F46*AM46</f>
        <v>0</v>
      </c>
      <c r="AV46" s="77">
        <f>F46*AN46</f>
        <v>0</v>
      </c>
      <c r="AW46" s="79" t="s">
        <v>185</v>
      </c>
      <c r="AX46" s="79" t="s">
        <v>147</v>
      </c>
      <c r="AY46" s="71" t="s">
        <v>137</v>
      </c>
      <c r="BA46" s="77">
        <f>AU46+AV46</f>
        <v>0</v>
      </c>
      <c r="BB46" s="77">
        <f>G46/(100-BC46)*100</f>
        <v>0</v>
      </c>
      <c r="BC46" s="77">
        <v>0</v>
      </c>
      <c r="BD46" s="77">
        <f>L46</f>
        <v>0</v>
      </c>
      <c r="BF46" s="77">
        <f>F46*AM46</f>
        <v>0</v>
      </c>
      <c r="BG46" s="77">
        <f>F46*AN46</f>
        <v>0</v>
      </c>
      <c r="BH46" s="77">
        <f>F46*G46</f>
        <v>0</v>
      </c>
      <c r="BI46" s="77"/>
      <c r="BJ46" s="77">
        <v>13</v>
      </c>
      <c r="BU46" s="77" t="e">
        <f>#REF!</f>
        <v>#REF!</v>
      </c>
      <c r="BV46" s="70" t="s">
        <v>198</v>
      </c>
    </row>
    <row r="47" spans="1:74" ht="54" customHeight="1" x14ac:dyDescent="0.25">
      <c r="A47" s="104"/>
      <c r="B47" s="81" t="s">
        <v>138</v>
      </c>
      <c r="C47" s="303" t="s">
        <v>199</v>
      </c>
      <c r="D47" s="304"/>
      <c r="E47" s="304"/>
      <c r="F47" s="304"/>
      <c r="G47" s="304"/>
      <c r="H47" s="304"/>
      <c r="I47" s="304"/>
      <c r="J47" s="304"/>
      <c r="K47" s="304"/>
      <c r="L47" s="304"/>
      <c r="M47" s="305"/>
    </row>
    <row r="48" spans="1:74" x14ac:dyDescent="0.25">
      <c r="A48" s="92" t="s">
        <v>214</v>
      </c>
      <c r="B48" s="69" t="s">
        <v>201</v>
      </c>
      <c r="C48" s="306" t="s">
        <v>202</v>
      </c>
      <c r="D48" s="307"/>
      <c r="E48" s="69" t="s">
        <v>177</v>
      </c>
      <c r="F48" s="77">
        <v>2</v>
      </c>
      <c r="G48" s="218">
        <v>0</v>
      </c>
      <c r="H48" s="77">
        <f>F48*AM48</f>
        <v>0</v>
      </c>
      <c r="I48" s="77">
        <f>F48*AN48</f>
        <v>0</v>
      </c>
      <c r="J48" s="77">
        <f>F48*G48</f>
        <v>0</v>
      </c>
      <c r="K48" s="77">
        <v>0</v>
      </c>
      <c r="L48" s="77">
        <f>F48*K48</f>
        <v>0</v>
      </c>
      <c r="M48" s="103" t="s">
        <v>35</v>
      </c>
      <c r="X48" s="77">
        <f>IF(AO48="5",BH48,0)</f>
        <v>0</v>
      </c>
      <c r="Z48" s="77">
        <f>IF(AO48="1",BF48,0)</f>
        <v>0</v>
      </c>
      <c r="AA48" s="77">
        <f>IF(AO48="1",BG48,0)</f>
        <v>0</v>
      </c>
      <c r="AB48" s="77">
        <f>IF(AO48="7",BF48,0)</f>
        <v>0</v>
      </c>
      <c r="AC48" s="77">
        <f>IF(AO48="7",BG48,0)</f>
        <v>0</v>
      </c>
      <c r="AD48" s="77">
        <f>IF(AO48="2",BF48,0)</f>
        <v>0</v>
      </c>
      <c r="AE48" s="77">
        <f>IF(AO48="2",BG48,0)</f>
        <v>0</v>
      </c>
      <c r="AF48" s="77">
        <f>IF(AO48="0",BH48,0)</f>
        <v>0</v>
      </c>
      <c r="AG48" s="71" t="s">
        <v>129</v>
      </c>
      <c r="AH48" s="77">
        <f>IF(AL48=0,J48,0)</f>
        <v>0</v>
      </c>
      <c r="AI48" s="77">
        <f>IF(AL48=15,J48,0)</f>
        <v>0</v>
      </c>
      <c r="AJ48" s="77">
        <f>IF(AL48=21,J48,0)</f>
        <v>0</v>
      </c>
      <c r="AL48" s="77">
        <v>21</v>
      </c>
      <c r="AM48" s="77">
        <f>G48*0</f>
        <v>0</v>
      </c>
      <c r="AN48" s="77">
        <f>G48*(1-0)</f>
        <v>0</v>
      </c>
      <c r="AO48" s="79" t="s">
        <v>132</v>
      </c>
      <c r="AT48" s="77">
        <f>AU48+AV48</f>
        <v>0</v>
      </c>
      <c r="AU48" s="77">
        <f>F48*AM48</f>
        <v>0</v>
      </c>
      <c r="AV48" s="77">
        <f>F48*AN48</f>
        <v>0</v>
      </c>
      <c r="AW48" s="79" t="s">
        <v>185</v>
      </c>
      <c r="AX48" s="79" t="s">
        <v>147</v>
      </c>
      <c r="AY48" s="71" t="s">
        <v>137</v>
      </c>
      <c r="BA48" s="77">
        <f>AU48+AV48</f>
        <v>0</v>
      </c>
      <c r="BB48" s="77">
        <f>G48/(100-BC48)*100</f>
        <v>0</v>
      </c>
      <c r="BC48" s="77">
        <v>0</v>
      </c>
      <c r="BD48" s="77">
        <f>L48</f>
        <v>0</v>
      </c>
      <c r="BF48" s="77">
        <f>F48*AM48</f>
        <v>0</v>
      </c>
      <c r="BG48" s="77">
        <f>F48*AN48</f>
        <v>0</v>
      </c>
      <c r="BH48" s="77">
        <f>F48*G48</f>
        <v>0</v>
      </c>
      <c r="BI48" s="77"/>
      <c r="BJ48" s="77">
        <v>13</v>
      </c>
      <c r="BU48" s="77" t="e">
        <f>#REF!</f>
        <v>#REF!</v>
      </c>
      <c r="BV48" s="70" t="s">
        <v>202</v>
      </c>
    </row>
    <row r="49" spans="1:74" ht="13.5" customHeight="1" x14ac:dyDescent="0.25">
      <c r="A49" s="104"/>
      <c r="B49" s="81" t="s">
        <v>138</v>
      </c>
      <c r="C49" s="303" t="s">
        <v>203</v>
      </c>
      <c r="D49" s="304"/>
      <c r="E49" s="304"/>
      <c r="F49" s="304"/>
      <c r="G49" s="304"/>
      <c r="H49" s="304"/>
      <c r="I49" s="304"/>
      <c r="J49" s="304"/>
      <c r="K49" s="304"/>
      <c r="L49" s="304"/>
      <c r="M49" s="305"/>
    </row>
    <row r="50" spans="1:74" x14ac:dyDescent="0.25">
      <c r="A50" s="92" t="s">
        <v>219</v>
      </c>
      <c r="B50" s="69" t="s">
        <v>205</v>
      </c>
      <c r="C50" s="306" t="s">
        <v>206</v>
      </c>
      <c r="D50" s="307"/>
      <c r="E50" s="69" t="s">
        <v>177</v>
      </c>
      <c r="F50" s="77">
        <v>2.75</v>
      </c>
      <c r="G50" s="218">
        <v>0</v>
      </c>
      <c r="H50" s="77">
        <f>F50*AM50</f>
        <v>0</v>
      </c>
      <c r="I50" s="77">
        <f>F50*AN50</f>
        <v>0</v>
      </c>
      <c r="J50" s="77">
        <f>F50*G50</f>
        <v>0</v>
      </c>
      <c r="K50" s="77">
        <v>0</v>
      </c>
      <c r="L50" s="77">
        <f>F50*K50</f>
        <v>0</v>
      </c>
      <c r="M50" s="103" t="s">
        <v>35</v>
      </c>
      <c r="X50" s="77">
        <f>IF(AO50="5",BH50,0)</f>
        <v>0</v>
      </c>
      <c r="Z50" s="77">
        <f>IF(AO50="1",BF50,0)</f>
        <v>0</v>
      </c>
      <c r="AA50" s="77">
        <f>IF(AO50="1",BG50,0)</f>
        <v>0</v>
      </c>
      <c r="AB50" s="77">
        <f>IF(AO50="7",BF50,0)</f>
        <v>0</v>
      </c>
      <c r="AC50" s="77">
        <f>IF(AO50="7",BG50,0)</f>
        <v>0</v>
      </c>
      <c r="AD50" s="77">
        <f>IF(AO50="2",BF50,0)</f>
        <v>0</v>
      </c>
      <c r="AE50" s="77">
        <f>IF(AO50="2",BG50,0)</f>
        <v>0</v>
      </c>
      <c r="AF50" s="77">
        <f>IF(AO50="0",BH50,0)</f>
        <v>0</v>
      </c>
      <c r="AG50" s="71" t="s">
        <v>129</v>
      </c>
      <c r="AH50" s="77">
        <f>IF(AL50=0,J50,0)</f>
        <v>0</v>
      </c>
      <c r="AI50" s="77">
        <f>IF(AL50=15,J50,0)</f>
        <v>0</v>
      </c>
      <c r="AJ50" s="77">
        <f>IF(AL50=21,J50,0)</f>
        <v>0</v>
      </c>
      <c r="AL50" s="77">
        <v>21</v>
      </c>
      <c r="AM50" s="77">
        <f>G50*0</f>
        <v>0</v>
      </c>
      <c r="AN50" s="77">
        <f>G50*(1-0)</f>
        <v>0</v>
      </c>
      <c r="AO50" s="79" t="s">
        <v>132</v>
      </c>
      <c r="AT50" s="77">
        <f>AU50+AV50</f>
        <v>0</v>
      </c>
      <c r="AU50" s="77">
        <f>F50*AM50</f>
        <v>0</v>
      </c>
      <c r="AV50" s="77">
        <f>F50*AN50</f>
        <v>0</v>
      </c>
      <c r="AW50" s="79" t="s">
        <v>185</v>
      </c>
      <c r="AX50" s="79" t="s">
        <v>147</v>
      </c>
      <c r="AY50" s="71" t="s">
        <v>137</v>
      </c>
      <c r="BA50" s="77">
        <f>AU50+AV50</f>
        <v>0</v>
      </c>
      <c r="BB50" s="77">
        <f>G50/(100-BC50)*100</f>
        <v>0</v>
      </c>
      <c r="BC50" s="77">
        <v>0</v>
      </c>
      <c r="BD50" s="77">
        <f>L50</f>
        <v>0</v>
      </c>
      <c r="BF50" s="77">
        <f>F50*AM50</f>
        <v>0</v>
      </c>
      <c r="BG50" s="77">
        <f>F50*AN50</f>
        <v>0</v>
      </c>
      <c r="BH50" s="77">
        <f>F50*G50</f>
        <v>0</v>
      </c>
      <c r="BI50" s="77"/>
      <c r="BJ50" s="77">
        <v>13</v>
      </c>
      <c r="BU50" s="77" t="e">
        <f>#REF!</f>
        <v>#REF!</v>
      </c>
      <c r="BV50" s="70" t="s">
        <v>206</v>
      </c>
    </row>
    <row r="51" spans="1:74" ht="40.5" customHeight="1" thickBot="1" x14ac:dyDescent="0.3">
      <c r="A51" s="107"/>
      <c r="B51" s="108" t="s">
        <v>138</v>
      </c>
      <c r="C51" s="308" t="s">
        <v>207</v>
      </c>
      <c r="D51" s="309"/>
      <c r="E51" s="309"/>
      <c r="F51" s="309"/>
      <c r="G51" s="309"/>
      <c r="H51" s="309"/>
      <c r="I51" s="309"/>
      <c r="J51" s="309"/>
      <c r="K51" s="309"/>
      <c r="L51" s="309"/>
      <c r="M51" s="310"/>
    </row>
    <row r="52" spans="1:74" x14ac:dyDescent="0.25">
      <c r="A52" s="97" t="s">
        <v>129</v>
      </c>
      <c r="B52" s="98" t="s">
        <v>204</v>
      </c>
      <c r="C52" s="318" t="s">
        <v>208</v>
      </c>
      <c r="D52" s="319"/>
      <c r="E52" s="99" t="s">
        <v>87</v>
      </c>
      <c r="F52" s="99" t="s">
        <v>87</v>
      </c>
      <c r="G52" s="99" t="s">
        <v>87</v>
      </c>
      <c r="H52" s="100">
        <f>SUM(H53:H55)</f>
        <v>0</v>
      </c>
      <c r="I52" s="100">
        <f>SUM(I53:I55)</f>
        <v>0</v>
      </c>
      <c r="J52" s="100">
        <f>SUM(J53:J55)</f>
        <v>0</v>
      </c>
      <c r="K52" s="101" t="s">
        <v>129</v>
      </c>
      <c r="L52" s="100">
        <f>SUM(L53:L55)</f>
        <v>2.6660699999999999E-2</v>
      </c>
      <c r="M52" s="102" t="s">
        <v>129</v>
      </c>
      <c r="AG52" s="71" t="s">
        <v>129</v>
      </c>
      <c r="AQ52" s="67">
        <f>SUM(AH53:AH55)</f>
        <v>0</v>
      </c>
      <c r="AR52" s="67">
        <f>SUM(AI53:AI55)</f>
        <v>0</v>
      </c>
      <c r="AS52" s="67">
        <f>SUM(AJ53:AJ55)</f>
        <v>0</v>
      </c>
    </row>
    <row r="53" spans="1:74" x14ac:dyDescent="0.25">
      <c r="A53" s="92" t="s">
        <v>224</v>
      </c>
      <c r="B53" s="69" t="s">
        <v>501</v>
      </c>
      <c r="C53" s="306" t="s">
        <v>502</v>
      </c>
      <c r="D53" s="307"/>
      <c r="E53" s="69" t="s">
        <v>166</v>
      </c>
      <c r="F53" s="77">
        <v>26.93</v>
      </c>
      <c r="G53" s="218">
        <v>0</v>
      </c>
      <c r="H53" s="77">
        <f>F53*AM53</f>
        <v>0</v>
      </c>
      <c r="I53" s="77">
        <f>F53*AN53</f>
        <v>0</v>
      </c>
      <c r="J53" s="77">
        <f>F53*G53</f>
        <v>0</v>
      </c>
      <c r="K53" s="77">
        <v>9.8999999999999999E-4</v>
      </c>
      <c r="L53" s="77">
        <f>F53*K53</f>
        <v>2.6660699999999999E-2</v>
      </c>
      <c r="M53" s="103" t="s">
        <v>35</v>
      </c>
      <c r="X53" s="77">
        <f>IF(AO53="5",BH53,0)</f>
        <v>0</v>
      </c>
      <c r="Z53" s="77">
        <f>IF(AO53="1",BF53,0)</f>
        <v>0</v>
      </c>
      <c r="AA53" s="77">
        <f>IF(AO53="1",BG53,0)</f>
        <v>0</v>
      </c>
      <c r="AB53" s="77">
        <f>IF(AO53="7",BF53,0)</f>
        <v>0</v>
      </c>
      <c r="AC53" s="77">
        <f>IF(AO53="7",BG53,0)</f>
        <v>0</v>
      </c>
      <c r="AD53" s="77">
        <f>IF(AO53="2",BF53,0)</f>
        <v>0</v>
      </c>
      <c r="AE53" s="77">
        <f>IF(AO53="2",BG53,0)</f>
        <v>0</v>
      </c>
      <c r="AF53" s="77">
        <f>IF(AO53="0",BH53,0)</f>
        <v>0</v>
      </c>
      <c r="AG53" s="71" t="s">
        <v>129</v>
      </c>
      <c r="AH53" s="77">
        <f>IF(AL53=0,J53,0)</f>
        <v>0</v>
      </c>
      <c r="AI53" s="77">
        <f>IF(AL53=15,J53,0)</f>
        <v>0</v>
      </c>
      <c r="AJ53" s="77">
        <f>IF(AL53=21,J53,0)</f>
        <v>0</v>
      </c>
      <c r="AL53" s="77">
        <v>21</v>
      </c>
      <c r="AM53" s="77">
        <f>G53*0.091290323</f>
        <v>0</v>
      </c>
      <c r="AN53" s="77">
        <f>G53*(1-0.091290323)</f>
        <v>0</v>
      </c>
      <c r="AO53" s="79" t="s">
        <v>132</v>
      </c>
      <c r="AT53" s="77">
        <f>AU53+AV53</f>
        <v>0</v>
      </c>
      <c r="AU53" s="77">
        <f>F53*AM53</f>
        <v>0</v>
      </c>
      <c r="AV53" s="77">
        <f>F53*AN53</f>
        <v>0</v>
      </c>
      <c r="AW53" s="79" t="s">
        <v>212</v>
      </c>
      <c r="AX53" s="79" t="s">
        <v>147</v>
      </c>
      <c r="AY53" s="71" t="s">
        <v>137</v>
      </c>
      <c r="BA53" s="77">
        <f>AU53+AV53</f>
        <v>0</v>
      </c>
      <c r="BB53" s="77">
        <f>G53/(100-BC53)*100</f>
        <v>0</v>
      </c>
      <c r="BC53" s="77">
        <v>0</v>
      </c>
      <c r="BD53" s="77">
        <f>L53</f>
        <v>2.6660699999999999E-2</v>
      </c>
      <c r="BF53" s="77">
        <f>F53*AM53</f>
        <v>0</v>
      </c>
      <c r="BG53" s="77">
        <f>F53*AN53</f>
        <v>0</v>
      </c>
      <c r="BH53" s="77">
        <f>F53*G53</f>
        <v>0</v>
      </c>
      <c r="BI53" s="77"/>
      <c r="BJ53" s="77">
        <v>15</v>
      </c>
      <c r="BU53" s="77" t="e">
        <f>#REF!</f>
        <v>#REF!</v>
      </c>
      <c r="BV53" s="70" t="s">
        <v>502</v>
      </c>
    </row>
    <row r="54" spans="1:74" ht="40.5" customHeight="1" x14ac:dyDescent="0.25">
      <c r="A54" s="104"/>
      <c r="B54" s="81" t="s">
        <v>138</v>
      </c>
      <c r="C54" s="303" t="s">
        <v>739</v>
      </c>
      <c r="D54" s="304"/>
      <c r="E54" s="304"/>
      <c r="F54" s="304"/>
      <c r="G54" s="304"/>
      <c r="H54" s="304"/>
      <c r="I54" s="304"/>
      <c r="J54" s="304"/>
      <c r="K54" s="304"/>
      <c r="L54" s="304"/>
      <c r="M54" s="305"/>
    </row>
    <row r="55" spans="1:74" x14ac:dyDescent="0.25">
      <c r="A55" s="92" t="s">
        <v>228</v>
      </c>
      <c r="B55" s="69" t="s">
        <v>504</v>
      </c>
      <c r="C55" s="306" t="s">
        <v>505</v>
      </c>
      <c r="D55" s="307"/>
      <c r="E55" s="69" t="s">
        <v>166</v>
      </c>
      <c r="F55" s="77">
        <v>26.93</v>
      </c>
      <c r="G55" s="218">
        <v>0</v>
      </c>
      <c r="H55" s="77">
        <f>F55*AM55</f>
        <v>0</v>
      </c>
      <c r="I55" s="77">
        <f>F55*AN55</f>
        <v>0</v>
      </c>
      <c r="J55" s="77">
        <f>F55*G55</f>
        <v>0</v>
      </c>
      <c r="K55" s="77">
        <v>0</v>
      </c>
      <c r="L55" s="77">
        <f>F55*K55</f>
        <v>0</v>
      </c>
      <c r="M55" s="103" t="s">
        <v>35</v>
      </c>
      <c r="X55" s="77">
        <f>IF(AO55="5",BH55,0)</f>
        <v>0</v>
      </c>
      <c r="Z55" s="77">
        <f>IF(AO55="1",BF55,0)</f>
        <v>0</v>
      </c>
      <c r="AA55" s="77">
        <f>IF(AO55="1",BG55,0)</f>
        <v>0</v>
      </c>
      <c r="AB55" s="77">
        <f>IF(AO55="7",BF55,0)</f>
        <v>0</v>
      </c>
      <c r="AC55" s="77">
        <f>IF(AO55="7",BG55,0)</f>
        <v>0</v>
      </c>
      <c r="AD55" s="77">
        <f>IF(AO55="2",BF55,0)</f>
        <v>0</v>
      </c>
      <c r="AE55" s="77">
        <f>IF(AO55="2",BG55,0)</f>
        <v>0</v>
      </c>
      <c r="AF55" s="77">
        <f>IF(AO55="0",BH55,0)</f>
        <v>0</v>
      </c>
      <c r="AG55" s="71" t="s">
        <v>129</v>
      </c>
      <c r="AH55" s="77">
        <f>IF(AL55=0,J55,0)</f>
        <v>0</v>
      </c>
      <c r="AI55" s="77">
        <f>IF(AL55=15,J55,0)</f>
        <v>0</v>
      </c>
      <c r="AJ55" s="77">
        <f>IF(AL55=21,J55,0)</f>
        <v>0</v>
      </c>
      <c r="AL55" s="77">
        <v>21</v>
      </c>
      <c r="AM55" s="77">
        <f>G55*0</f>
        <v>0</v>
      </c>
      <c r="AN55" s="77">
        <f>G55*(1-0)</f>
        <v>0</v>
      </c>
      <c r="AO55" s="79" t="s">
        <v>132</v>
      </c>
      <c r="AT55" s="77">
        <f>AU55+AV55</f>
        <v>0</v>
      </c>
      <c r="AU55" s="77">
        <f>F55*AM55</f>
        <v>0</v>
      </c>
      <c r="AV55" s="77">
        <f>F55*AN55</f>
        <v>0</v>
      </c>
      <c r="AW55" s="79" t="s">
        <v>212</v>
      </c>
      <c r="AX55" s="79" t="s">
        <v>147</v>
      </c>
      <c r="AY55" s="71" t="s">
        <v>137</v>
      </c>
      <c r="BA55" s="77">
        <f>AU55+AV55</f>
        <v>0</v>
      </c>
      <c r="BB55" s="77">
        <f>G55/(100-BC55)*100</f>
        <v>0</v>
      </c>
      <c r="BC55" s="77">
        <v>0</v>
      </c>
      <c r="BD55" s="77">
        <f>L55</f>
        <v>0</v>
      </c>
      <c r="BF55" s="77">
        <f>F55*AM55</f>
        <v>0</v>
      </c>
      <c r="BG55" s="77">
        <f>F55*AN55</f>
        <v>0</v>
      </c>
      <c r="BH55" s="77">
        <f>F55*G55</f>
        <v>0</v>
      </c>
      <c r="BI55" s="77"/>
      <c r="BJ55" s="77">
        <v>15</v>
      </c>
      <c r="BU55" s="77" t="e">
        <f>#REF!</f>
        <v>#REF!</v>
      </c>
      <c r="BV55" s="70" t="s">
        <v>505</v>
      </c>
    </row>
    <row r="56" spans="1:74" ht="40.5" customHeight="1" x14ac:dyDescent="0.25">
      <c r="A56" s="104"/>
      <c r="B56" s="81" t="s">
        <v>138</v>
      </c>
      <c r="C56" s="303" t="s">
        <v>740</v>
      </c>
      <c r="D56" s="304"/>
      <c r="E56" s="304"/>
      <c r="F56" s="304"/>
      <c r="G56" s="304"/>
      <c r="H56" s="304"/>
      <c r="I56" s="304"/>
      <c r="J56" s="304"/>
      <c r="K56" s="304"/>
      <c r="L56" s="304"/>
      <c r="M56" s="305"/>
    </row>
    <row r="57" spans="1:74" x14ac:dyDescent="0.25">
      <c r="A57" s="105" t="s">
        <v>129</v>
      </c>
      <c r="B57" s="74" t="s">
        <v>209</v>
      </c>
      <c r="C57" s="314" t="s">
        <v>218</v>
      </c>
      <c r="D57" s="315"/>
      <c r="E57" s="75" t="s">
        <v>87</v>
      </c>
      <c r="F57" s="75" t="s">
        <v>87</v>
      </c>
      <c r="G57" s="75" t="s">
        <v>87</v>
      </c>
      <c r="H57" s="67">
        <f>SUM(H58:H72)</f>
        <v>0</v>
      </c>
      <c r="I57" s="67">
        <f>SUM(I58:I72)</f>
        <v>0</v>
      </c>
      <c r="J57" s="67">
        <f>SUM(J58:J72)</f>
        <v>0</v>
      </c>
      <c r="K57" s="71" t="s">
        <v>129</v>
      </c>
      <c r="L57" s="67">
        <f>SUM(L58:L72)</f>
        <v>0</v>
      </c>
      <c r="M57" s="106" t="s">
        <v>129</v>
      </c>
      <c r="AG57" s="71" t="s">
        <v>129</v>
      </c>
      <c r="AQ57" s="67">
        <f>SUM(AH58:AH72)</f>
        <v>0</v>
      </c>
      <c r="AR57" s="67">
        <f>SUM(AI58:AI72)</f>
        <v>0</v>
      </c>
      <c r="AS57" s="67">
        <f>SUM(AJ58:AJ72)</f>
        <v>0</v>
      </c>
    </row>
    <row r="58" spans="1:74" x14ac:dyDescent="0.25">
      <c r="A58" s="92" t="s">
        <v>232</v>
      </c>
      <c r="B58" s="69" t="s">
        <v>220</v>
      </c>
      <c r="C58" s="306" t="s">
        <v>221</v>
      </c>
      <c r="D58" s="307"/>
      <c r="E58" s="69" t="s">
        <v>177</v>
      </c>
      <c r="F58" s="77">
        <v>1.23</v>
      </c>
      <c r="G58" s="218">
        <v>0</v>
      </c>
      <c r="H58" s="77">
        <f>F58*AM58</f>
        <v>0</v>
      </c>
      <c r="I58" s="77">
        <f>F58*AN58</f>
        <v>0</v>
      </c>
      <c r="J58" s="77">
        <f>F58*G58</f>
        <v>0</v>
      </c>
      <c r="K58" s="77">
        <v>0</v>
      </c>
      <c r="L58" s="77">
        <f>F58*K58</f>
        <v>0</v>
      </c>
      <c r="M58" s="103" t="s">
        <v>35</v>
      </c>
      <c r="X58" s="77">
        <f>IF(AO58="5",BH58,0)</f>
        <v>0</v>
      </c>
      <c r="Z58" s="77">
        <f>IF(AO58="1",BF58,0)</f>
        <v>0</v>
      </c>
      <c r="AA58" s="77">
        <f>IF(AO58="1",BG58,0)</f>
        <v>0</v>
      </c>
      <c r="AB58" s="77">
        <f>IF(AO58="7",BF58,0)</f>
        <v>0</v>
      </c>
      <c r="AC58" s="77">
        <f>IF(AO58="7",BG58,0)</f>
        <v>0</v>
      </c>
      <c r="AD58" s="77">
        <f>IF(AO58="2",BF58,0)</f>
        <v>0</v>
      </c>
      <c r="AE58" s="77">
        <f>IF(AO58="2",BG58,0)</f>
        <v>0</v>
      </c>
      <c r="AF58" s="77">
        <f>IF(AO58="0",BH58,0)</f>
        <v>0</v>
      </c>
      <c r="AG58" s="71" t="s">
        <v>129</v>
      </c>
      <c r="AH58" s="77">
        <f>IF(AL58=0,J58,0)</f>
        <v>0</v>
      </c>
      <c r="AI58" s="77">
        <f>IF(AL58=15,J58,0)</f>
        <v>0</v>
      </c>
      <c r="AJ58" s="77">
        <f>IF(AL58=21,J58,0)</f>
        <v>0</v>
      </c>
      <c r="AL58" s="77">
        <v>21</v>
      </c>
      <c r="AM58" s="77">
        <f>G58*0</f>
        <v>0</v>
      </c>
      <c r="AN58" s="77">
        <f>G58*(1-0)</f>
        <v>0</v>
      </c>
      <c r="AO58" s="79" t="s">
        <v>132</v>
      </c>
      <c r="AT58" s="77">
        <f>AU58+AV58</f>
        <v>0</v>
      </c>
      <c r="AU58" s="77">
        <f>F58*AM58</f>
        <v>0</v>
      </c>
      <c r="AV58" s="77">
        <f>F58*AN58</f>
        <v>0</v>
      </c>
      <c r="AW58" s="79" t="s">
        <v>222</v>
      </c>
      <c r="AX58" s="79" t="s">
        <v>147</v>
      </c>
      <c r="AY58" s="71" t="s">
        <v>137</v>
      </c>
      <c r="BA58" s="77">
        <f>AU58+AV58</f>
        <v>0</v>
      </c>
      <c r="BB58" s="77">
        <f>G58/(100-BC58)*100</f>
        <v>0</v>
      </c>
      <c r="BC58" s="77">
        <v>0</v>
      </c>
      <c r="BD58" s="77">
        <f>L58</f>
        <v>0</v>
      </c>
      <c r="BF58" s="77">
        <f>F58*AM58</f>
        <v>0</v>
      </c>
      <c r="BG58" s="77">
        <f>F58*AN58</f>
        <v>0</v>
      </c>
      <c r="BH58" s="77">
        <f>F58*G58</f>
        <v>0</v>
      </c>
      <c r="BI58" s="77"/>
      <c r="BJ58" s="77">
        <v>16</v>
      </c>
      <c r="BU58" s="77" t="e">
        <f>#REF!</f>
        <v>#REF!</v>
      </c>
      <c r="BV58" s="70" t="s">
        <v>221</v>
      </c>
    </row>
    <row r="59" spans="1:74" ht="54" customHeight="1" x14ac:dyDescent="0.25">
      <c r="A59" s="104"/>
      <c r="B59" s="81" t="s">
        <v>138</v>
      </c>
      <c r="C59" s="303" t="s">
        <v>741</v>
      </c>
      <c r="D59" s="304"/>
      <c r="E59" s="304"/>
      <c r="F59" s="304"/>
      <c r="G59" s="304"/>
      <c r="H59" s="304"/>
      <c r="I59" s="304"/>
      <c r="J59" s="304"/>
      <c r="K59" s="304"/>
      <c r="L59" s="304"/>
      <c r="M59" s="305"/>
    </row>
    <row r="60" spans="1:74" x14ac:dyDescent="0.25">
      <c r="A60" s="92" t="s">
        <v>236</v>
      </c>
      <c r="B60" s="69" t="s">
        <v>225</v>
      </c>
      <c r="C60" s="306" t="s">
        <v>226</v>
      </c>
      <c r="D60" s="307"/>
      <c r="E60" s="69" t="s">
        <v>177</v>
      </c>
      <c r="F60" s="77">
        <v>0.62</v>
      </c>
      <c r="G60" s="218">
        <v>0</v>
      </c>
      <c r="H60" s="77">
        <f>F60*AM60</f>
        <v>0</v>
      </c>
      <c r="I60" s="77">
        <f>F60*AN60</f>
        <v>0</v>
      </c>
      <c r="J60" s="77">
        <f>F60*G60</f>
        <v>0</v>
      </c>
      <c r="K60" s="77">
        <v>0</v>
      </c>
      <c r="L60" s="77">
        <f>F60*K60</f>
        <v>0</v>
      </c>
      <c r="M60" s="103" t="s">
        <v>35</v>
      </c>
      <c r="X60" s="77">
        <f>IF(AO60="5",BH60,0)</f>
        <v>0</v>
      </c>
      <c r="Z60" s="77">
        <f>IF(AO60="1",BF60,0)</f>
        <v>0</v>
      </c>
      <c r="AA60" s="77">
        <f>IF(AO60="1",BG60,0)</f>
        <v>0</v>
      </c>
      <c r="AB60" s="77">
        <f>IF(AO60="7",BF60,0)</f>
        <v>0</v>
      </c>
      <c r="AC60" s="77">
        <f>IF(AO60="7",BG60,0)</f>
        <v>0</v>
      </c>
      <c r="AD60" s="77">
        <f>IF(AO60="2",BF60,0)</f>
        <v>0</v>
      </c>
      <c r="AE60" s="77">
        <f>IF(AO60="2",BG60,0)</f>
        <v>0</v>
      </c>
      <c r="AF60" s="77">
        <f>IF(AO60="0",BH60,0)</f>
        <v>0</v>
      </c>
      <c r="AG60" s="71" t="s">
        <v>129</v>
      </c>
      <c r="AH60" s="77">
        <f>IF(AL60=0,J60,0)</f>
        <v>0</v>
      </c>
      <c r="AI60" s="77">
        <f>IF(AL60=15,J60,0)</f>
        <v>0</v>
      </c>
      <c r="AJ60" s="77">
        <f>IF(AL60=21,J60,0)</f>
        <v>0</v>
      </c>
      <c r="AL60" s="77">
        <v>21</v>
      </c>
      <c r="AM60" s="77">
        <f>G60*0</f>
        <v>0</v>
      </c>
      <c r="AN60" s="77">
        <f>G60*(1-0)</f>
        <v>0</v>
      </c>
      <c r="AO60" s="79" t="s">
        <v>132</v>
      </c>
      <c r="AT60" s="77">
        <f>AU60+AV60</f>
        <v>0</v>
      </c>
      <c r="AU60" s="77">
        <f>F60*AM60</f>
        <v>0</v>
      </c>
      <c r="AV60" s="77">
        <f>F60*AN60</f>
        <v>0</v>
      </c>
      <c r="AW60" s="79" t="s">
        <v>222</v>
      </c>
      <c r="AX60" s="79" t="s">
        <v>147</v>
      </c>
      <c r="AY60" s="71" t="s">
        <v>137</v>
      </c>
      <c r="BA60" s="77">
        <f>AU60+AV60</f>
        <v>0</v>
      </c>
      <c r="BB60" s="77">
        <f>G60/(100-BC60)*100</f>
        <v>0</v>
      </c>
      <c r="BC60" s="77">
        <v>0</v>
      </c>
      <c r="BD60" s="77">
        <f>L60</f>
        <v>0</v>
      </c>
      <c r="BF60" s="77">
        <f>F60*AM60</f>
        <v>0</v>
      </c>
      <c r="BG60" s="77">
        <f>F60*AN60</f>
        <v>0</v>
      </c>
      <c r="BH60" s="77">
        <f>F60*G60</f>
        <v>0</v>
      </c>
      <c r="BI60" s="77"/>
      <c r="BJ60" s="77">
        <v>16</v>
      </c>
      <c r="BU60" s="77" t="e">
        <f>#REF!</f>
        <v>#REF!</v>
      </c>
      <c r="BV60" s="70" t="s">
        <v>226</v>
      </c>
    </row>
    <row r="61" spans="1:74" ht="54" customHeight="1" x14ac:dyDescent="0.25">
      <c r="A61" s="104"/>
      <c r="B61" s="81" t="s">
        <v>138</v>
      </c>
      <c r="C61" s="303" t="s">
        <v>742</v>
      </c>
      <c r="D61" s="304"/>
      <c r="E61" s="304"/>
      <c r="F61" s="304"/>
      <c r="G61" s="304"/>
      <c r="H61" s="304"/>
      <c r="I61" s="304"/>
      <c r="J61" s="304"/>
      <c r="K61" s="304"/>
      <c r="L61" s="304"/>
      <c r="M61" s="305"/>
    </row>
    <row r="62" spans="1:74" x14ac:dyDescent="0.25">
      <c r="A62" s="92" t="s">
        <v>240</v>
      </c>
      <c r="B62" s="69" t="s">
        <v>229</v>
      </c>
      <c r="C62" s="306" t="s">
        <v>230</v>
      </c>
      <c r="D62" s="307"/>
      <c r="E62" s="69" t="s">
        <v>177</v>
      </c>
      <c r="F62" s="77">
        <v>9.0299999999999994</v>
      </c>
      <c r="G62" s="218">
        <v>0</v>
      </c>
      <c r="H62" s="77">
        <f>F62*AM62</f>
        <v>0</v>
      </c>
      <c r="I62" s="77">
        <f>F62*AN62</f>
        <v>0</v>
      </c>
      <c r="J62" s="77">
        <f>F62*G62</f>
        <v>0</v>
      </c>
      <c r="K62" s="77">
        <v>0</v>
      </c>
      <c r="L62" s="77">
        <f>F62*K62</f>
        <v>0</v>
      </c>
      <c r="M62" s="103" t="s">
        <v>35</v>
      </c>
      <c r="X62" s="77">
        <f>IF(AO62="5",BH62,0)</f>
        <v>0</v>
      </c>
      <c r="Z62" s="77">
        <f>IF(AO62="1",BF62,0)</f>
        <v>0</v>
      </c>
      <c r="AA62" s="77">
        <f>IF(AO62="1",BG62,0)</f>
        <v>0</v>
      </c>
      <c r="AB62" s="77">
        <f>IF(AO62="7",BF62,0)</f>
        <v>0</v>
      </c>
      <c r="AC62" s="77">
        <f>IF(AO62="7",BG62,0)</f>
        <v>0</v>
      </c>
      <c r="AD62" s="77">
        <f>IF(AO62="2",BF62,0)</f>
        <v>0</v>
      </c>
      <c r="AE62" s="77">
        <f>IF(AO62="2",BG62,0)</f>
        <v>0</v>
      </c>
      <c r="AF62" s="77">
        <f>IF(AO62="0",BH62,0)</f>
        <v>0</v>
      </c>
      <c r="AG62" s="71" t="s">
        <v>129</v>
      </c>
      <c r="AH62" s="77">
        <f>IF(AL62=0,J62,0)</f>
        <v>0</v>
      </c>
      <c r="AI62" s="77">
        <f>IF(AL62=15,J62,0)</f>
        <v>0</v>
      </c>
      <c r="AJ62" s="77">
        <f>IF(AL62=21,J62,0)</f>
        <v>0</v>
      </c>
      <c r="AL62" s="77">
        <v>21</v>
      </c>
      <c r="AM62" s="77">
        <f>G62*0</f>
        <v>0</v>
      </c>
      <c r="AN62" s="77">
        <f>G62*(1-0)</f>
        <v>0</v>
      </c>
      <c r="AO62" s="79" t="s">
        <v>132</v>
      </c>
      <c r="AT62" s="77">
        <f>AU62+AV62</f>
        <v>0</v>
      </c>
      <c r="AU62" s="77">
        <f>F62*AM62</f>
        <v>0</v>
      </c>
      <c r="AV62" s="77">
        <f>F62*AN62</f>
        <v>0</v>
      </c>
      <c r="AW62" s="79" t="s">
        <v>222</v>
      </c>
      <c r="AX62" s="79" t="s">
        <v>147</v>
      </c>
      <c r="AY62" s="71" t="s">
        <v>137</v>
      </c>
      <c r="BA62" s="77">
        <f>AU62+AV62</f>
        <v>0</v>
      </c>
      <c r="BB62" s="77">
        <f>G62/(100-BC62)*100</f>
        <v>0</v>
      </c>
      <c r="BC62" s="77">
        <v>0</v>
      </c>
      <c r="BD62" s="77">
        <f>L62</f>
        <v>0</v>
      </c>
      <c r="BF62" s="77">
        <f>F62*AM62</f>
        <v>0</v>
      </c>
      <c r="BG62" s="77">
        <f>F62*AN62</f>
        <v>0</v>
      </c>
      <c r="BH62" s="77">
        <f>F62*G62</f>
        <v>0</v>
      </c>
      <c r="BI62" s="77"/>
      <c r="BJ62" s="77">
        <v>16</v>
      </c>
      <c r="BU62" s="77" t="e">
        <f>#REF!</f>
        <v>#REF!</v>
      </c>
      <c r="BV62" s="70" t="s">
        <v>230</v>
      </c>
    </row>
    <row r="63" spans="1:74" ht="67.5" customHeight="1" x14ac:dyDescent="0.25">
      <c r="A63" s="104"/>
      <c r="B63" s="81" t="s">
        <v>138</v>
      </c>
      <c r="C63" s="303" t="s">
        <v>743</v>
      </c>
      <c r="D63" s="304"/>
      <c r="E63" s="304"/>
      <c r="F63" s="304"/>
      <c r="G63" s="304"/>
      <c r="H63" s="304"/>
      <c r="I63" s="304"/>
      <c r="J63" s="304"/>
      <c r="K63" s="304"/>
      <c r="L63" s="304"/>
      <c r="M63" s="305"/>
    </row>
    <row r="64" spans="1:74" x14ac:dyDescent="0.25">
      <c r="A64" s="92" t="s">
        <v>245</v>
      </c>
      <c r="B64" s="69" t="s">
        <v>233</v>
      </c>
      <c r="C64" s="306" t="s">
        <v>234</v>
      </c>
      <c r="D64" s="307"/>
      <c r="E64" s="69" t="s">
        <v>177</v>
      </c>
      <c r="F64" s="77">
        <v>7.75</v>
      </c>
      <c r="G64" s="218">
        <v>0</v>
      </c>
      <c r="H64" s="77">
        <f>F64*AM64</f>
        <v>0</v>
      </c>
      <c r="I64" s="77">
        <f>F64*AN64</f>
        <v>0</v>
      </c>
      <c r="J64" s="77">
        <f>F64*G64</f>
        <v>0</v>
      </c>
      <c r="K64" s="77">
        <v>0</v>
      </c>
      <c r="L64" s="77">
        <f>F64*K64</f>
        <v>0</v>
      </c>
      <c r="M64" s="103" t="s">
        <v>35</v>
      </c>
      <c r="X64" s="77">
        <f>IF(AO64="5",BH64,0)</f>
        <v>0</v>
      </c>
      <c r="Z64" s="77">
        <f>IF(AO64="1",BF64,0)</f>
        <v>0</v>
      </c>
      <c r="AA64" s="77">
        <f>IF(AO64="1",BG64,0)</f>
        <v>0</v>
      </c>
      <c r="AB64" s="77">
        <f>IF(AO64="7",BF64,0)</f>
        <v>0</v>
      </c>
      <c r="AC64" s="77">
        <f>IF(AO64="7",BG64,0)</f>
        <v>0</v>
      </c>
      <c r="AD64" s="77">
        <f>IF(AO64="2",BF64,0)</f>
        <v>0</v>
      </c>
      <c r="AE64" s="77">
        <f>IF(AO64="2",BG64,0)</f>
        <v>0</v>
      </c>
      <c r="AF64" s="77">
        <f>IF(AO64="0",BH64,0)</f>
        <v>0</v>
      </c>
      <c r="AG64" s="71" t="s">
        <v>129</v>
      </c>
      <c r="AH64" s="77">
        <f>IF(AL64=0,J64,0)</f>
        <v>0</v>
      </c>
      <c r="AI64" s="77">
        <f>IF(AL64=15,J64,0)</f>
        <v>0</v>
      </c>
      <c r="AJ64" s="77">
        <f>IF(AL64=21,J64,0)</f>
        <v>0</v>
      </c>
      <c r="AL64" s="77">
        <v>21</v>
      </c>
      <c r="AM64" s="77">
        <f>G64*0</f>
        <v>0</v>
      </c>
      <c r="AN64" s="77">
        <f>G64*(1-0)</f>
        <v>0</v>
      </c>
      <c r="AO64" s="79" t="s">
        <v>132</v>
      </c>
      <c r="AT64" s="77">
        <f>AU64+AV64</f>
        <v>0</v>
      </c>
      <c r="AU64" s="77">
        <f>F64*AM64</f>
        <v>0</v>
      </c>
      <c r="AV64" s="77">
        <f>F64*AN64</f>
        <v>0</v>
      </c>
      <c r="AW64" s="79" t="s">
        <v>222</v>
      </c>
      <c r="AX64" s="79" t="s">
        <v>147</v>
      </c>
      <c r="AY64" s="71" t="s">
        <v>137</v>
      </c>
      <c r="BA64" s="77">
        <f>AU64+AV64</f>
        <v>0</v>
      </c>
      <c r="BB64" s="77">
        <f>G64/(100-BC64)*100</f>
        <v>0</v>
      </c>
      <c r="BC64" s="77">
        <v>0</v>
      </c>
      <c r="BD64" s="77">
        <f>L64</f>
        <v>0</v>
      </c>
      <c r="BF64" s="77">
        <f>F64*AM64</f>
        <v>0</v>
      </c>
      <c r="BG64" s="77">
        <f>F64*AN64</f>
        <v>0</v>
      </c>
      <c r="BH64" s="77">
        <f>F64*G64</f>
        <v>0</v>
      </c>
      <c r="BI64" s="77"/>
      <c r="BJ64" s="77">
        <v>16</v>
      </c>
      <c r="BU64" s="77" t="e">
        <f>#REF!</f>
        <v>#REF!</v>
      </c>
      <c r="BV64" s="70" t="s">
        <v>234</v>
      </c>
    </row>
    <row r="65" spans="1:74" ht="54" customHeight="1" x14ac:dyDescent="0.25">
      <c r="A65" s="104"/>
      <c r="B65" s="81" t="s">
        <v>138</v>
      </c>
      <c r="C65" s="303" t="s">
        <v>744</v>
      </c>
      <c r="D65" s="304"/>
      <c r="E65" s="304"/>
      <c r="F65" s="304"/>
      <c r="G65" s="304"/>
      <c r="H65" s="304"/>
      <c r="I65" s="304"/>
      <c r="J65" s="304"/>
      <c r="K65" s="304"/>
      <c r="L65" s="304"/>
      <c r="M65" s="305"/>
    </row>
    <row r="66" spans="1:74" x14ac:dyDescent="0.25">
      <c r="A66" s="92" t="s">
        <v>250</v>
      </c>
      <c r="B66" s="69" t="s">
        <v>237</v>
      </c>
      <c r="C66" s="306" t="s">
        <v>238</v>
      </c>
      <c r="D66" s="307"/>
      <c r="E66" s="69" t="s">
        <v>177</v>
      </c>
      <c r="F66" s="77">
        <v>12.66</v>
      </c>
      <c r="G66" s="218">
        <v>0</v>
      </c>
      <c r="H66" s="77">
        <f>F66*AM66</f>
        <v>0</v>
      </c>
      <c r="I66" s="77">
        <f>F66*AN66</f>
        <v>0</v>
      </c>
      <c r="J66" s="77">
        <f>F66*G66</f>
        <v>0</v>
      </c>
      <c r="K66" s="77">
        <v>0</v>
      </c>
      <c r="L66" s="77">
        <f>F66*K66</f>
        <v>0</v>
      </c>
      <c r="M66" s="103" t="s">
        <v>35</v>
      </c>
      <c r="X66" s="77">
        <f>IF(AO66="5",BH66,0)</f>
        <v>0</v>
      </c>
      <c r="Z66" s="77">
        <f>IF(AO66="1",BF66,0)</f>
        <v>0</v>
      </c>
      <c r="AA66" s="77">
        <f>IF(AO66="1",BG66,0)</f>
        <v>0</v>
      </c>
      <c r="AB66" s="77">
        <f>IF(AO66="7",BF66,0)</f>
        <v>0</v>
      </c>
      <c r="AC66" s="77">
        <f>IF(AO66="7",BG66,0)</f>
        <v>0</v>
      </c>
      <c r="AD66" s="77">
        <f>IF(AO66="2",BF66,0)</f>
        <v>0</v>
      </c>
      <c r="AE66" s="77">
        <f>IF(AO66="2",BG66,0)</f>
        <v>0</v>
      </c>
      <c r="AF66" s="77">
        <f>IF(AO66="0",BH66,0)</f>
        <v>0</v>
      </c>
      <c r="AG66" s="71" t="s">
        <v>129</v>
      </c>
      <c r="AH66" s="77">
        <f>IF(AL66=0,J66,0)</f>
        <v>0</v>
      </c>
      <c r="AI66" s="77">
        <f>IF(AL66=15,J66,0)</f>
        <v>0</v>
      </c>
      <c r="AJ66" s="77">
        <f>IF(AL66=21,J66,0)</f>
        <v>0</v>
      </c>
      <c r="AL66" s="77">
        <v>21</v>
      </c>
      <c r="AM66" s="77">
        <f>G66*0</f>
        <v>0</v>
      </c>
      <c r="AN66" s="77">
        <f>G66*(1-0)</f>
        <v>0</v>
      </c>
      <c r="AO66" s="79" t="s">
        <v>132</v>
      </c>
      <c r="AT66" s="77">
        <f>AU66+AV66</f>
        <v>0</v>
      </c>
      <c r="AU66" s="77">
        <f>F66*AM66</f>
        <v>0</v>
      </c>
      <c r="AV66" s="77">
        <f>F66*AN66</f>
        <v>0</v>
      </c>
      <c r="AW66" s="79" t="s">
        <v>222</v>
      </c>
      <c r="AX66" s="79" t="s">
        <v>147</v>
      </c>
      <c r="AY66" s="71" t="s">
        <v>137</v>
      </c>
      <c r="BA66" s="77">
        <f>AU66+AV66</f>
        <v>0</v>
      </c>
      <c r="BB66" s="77">
        <f>G66/(100-BC66)*100</f>
        <v>0</v>
      </c>
      <c r="BC66" s="77">
        <v>0</v>
      </c>
      <c r="BD66" s="77">
        <f>L66</f>
        <v>0</v>
      </c>
      <c r="BF66" s="77">
        <f>F66*AM66</f>
        <v>0</v>
      </c>
      <c r="BG66" s="77">
        <f>F66*AN66</f>
        <v>0</v>
      </c>
      <c r="BH66" s="77">
        <f>F66*G66</f>
        <v>0</v>
      </c>
      <c r="BI66" s="77"/>
      <c r="BJ66" s="77">
        <v>16</v>
      </c>
      <c r="BU66" s="77" t="e">
        <f>#REF!</f>
        <v>#REF!</v>
      </c>
      <c r="BV66" s="70" t="s">
        <v>238</v>
      </c>
    </row>
    <row r="67" spans="1:74" ht="40.5" customHeight="1" x14ac:dyDescent="0.25">
      <c r="A67" s="104"/>
      <c r="B67" s="81" t="s">
        <v>138</v>
      </c>
      <c r="C67" s="303" t="s">
        <v>745</v>
      </c>
      <c r="D67" s="304"/>
      <c r="E67" s="304"/>
      <c r="F67" s="304"/>
      <c r="G67" s="304"/>
      <c r="H67" s="304"/>
      <c r="I67" s="304"/>
      <c r="J67" s="304"/>
      <c r="K67" s="304"/>
      <c r="L67" s="304"/>
      <c r="M67" s="305"/>
    </row>
    <row r="68" spans="1:74" x14ac:dyDescent="0.25">
      <c r="A68" s="92" t="s">
        <v>253</v>
      </c>
      <c r="B68" s="69" t="s">
        <v>746</v>
      </c>
      <c r="C68" s="306" t="s">
        <v>747</v>
      </c>
      <c r="D68" s="307"/>
      <c r="E68" s="69" t="s">
        <v>177</v>
      </c>
      <c r="F68" s="77">
        <v>12.66</v>
      </c>
      <c r="G68" s="218">
        <v>0</v>
      </c>
      <c r="H68" s="77">
        <f>F68*AM68</f>
        <v>0</v>
      </c>
      <c r="I68" s="77">
        <f>F68*AN68</f>
        <v>0</v>
      </c>
      <c r="J68" s="77">
        <f>F68*G68</f>
        <v>0</v>
      </c>
      <c r="K68" s="77">
        <v>0</v>
      </c>
      <c r="L68" s="77">
        <f>F68*K68</f>
        <v>0</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21</v>
      </c>
      <c r="AM68" s="77">
        <f>G68*0</f>
        <v>0</v>
      </c>
      <c r="AN68" s="77">
        <f>G68*(1-0)</f>
        <v>0</v>
      </c>
      <c r="AO68" s="79" t="s">
        <v>132</v>
      </c>
      <c r="AT68" s="77">
        <f>AU68+AV68</f>
        <v>0</v>
      </c>
      <c r="AU68" s="77">
        <f>F68*AM68</f>
        <v>0</v>
      </c>
      <c r="AV68" s="77">
        <f>F68*AN68</f>
        <v>0</v>
      </c>
      <c r="AW68" s="79" t="s">
        <v>222</v>
      </c>
      <c r="AX68" s="79" t="s">
        <v>147</v>
      </c>
      <c r="AY68" s="71" t="s">
        <v>137</v>
      </c>
      <c r="BA68" s="77">
        <f>AU68+AV68</f>
        <v>0</v>
      </c>
      <c r="BB68" s="77">
        <f>G68/(100-BC68)*100</f>
        <v>0</v>
      </c>
      <c r="BC68" s="77">
        <v>0</v>
      </c>
      <c r="BD68" s="77">
        <f>L68</f>
        <v>0</v>
      </c>
      <c r="BF68" s="77">
        <f>F68*AM68</f>
        <v>0</v>
      </c>
      <c r="BG68" s="77">
        <f>F68*AN68</f>
        <v>0</v>
      </c>
      <c r="BH68" s="77">
        <f>F68*G68</f>
        <v>0</v>
      </c>
      <c r="BI68" s="77"/>
      <c r="BJ68" s="77">
        <v>16</v>
      </c>
      <c r="BU68" s="77" t="e">
        <f>#REF!</f>
        <v>#REF!</v>
      </c>
      <c r="BV68" s="70" t="s">
        <v>747</v>
      </c>
    </row>
    <row r="69" spans="1:74" ht="40.5" customHeight="1" x14ac:dyDescent="0.25">
      <c r="A69" s="104"/>
      <c r="B69" s="81" t="s">
        <v>138</v>
      </c>
      <c r="C69" s="303" t="s">
        <v>748</v>
      </c>
      <c r="D69" s="304"/>
      <c r="E69" s="304"/>
      <c r="F69" s="304"/>
      <c r="G69" s="304"/>
      <c r="H69" s="304"/>
      <c r="I69" s="304"/>
      <c r="J69" s="304"/>
      <c r="K69" s="304"/>
      <c r="L69" s="304"/>
      <c r="M69" s="305"/>
    </row>
    <row r="70" spans="1:74" x14ac:dyDescent="0.25">
      <c r="A70" s="92" t="s">
        <v>258</v>
      </c>
      <c r="B70" s="69" t="s">
        <v>749</v>
      </c>
      <c r="C70" s="306" t="s">
        <v>750</v>
      </c>
      <c r="D70" s="307"/>
      <c r="E70" s="69" t="s">
        <v>177</v>
      </c>
      <c r="F70" s="77">
        <v>0.7</v>
      </c>
      <c r="G70" s="218">
        <v>0</v>
      </c>
      <c r="H70" s="77">
        <f>F70*AM70</f>
        <v>0</v>
      </c>
      <c r="I70" s="77">
        <f>F70*AN70</f>
        <v>0</v>
      </c>
      <c r="J70" s="77">
        <f>F70*G70</f>
        <v>0</v>
      </c>
      <c r="K70" s="77">
        <v>0</v>
      </c>
      <c r="L70" s="77">
        <f>F70*K70</f>
        <v>0</v>
      </c>
      <c r="M70" s="103" t="s">
        <v>35</v>
      </c>
      <c r="X70" s="77">
        <f>IF(AO70="5",BH70,0)</f>
        <v>0</v>
      </c>
      <c r="Z70" s="77">
        <f>IF(AO70="1",BF70,0)</f>
        <v>0</v>
      </c>
      <c r="AA70" s="77">
        <f>IF(AO70="1",BG70,0)</f>
        <v>0</v>
      </c>
      <c r="AB70" s="77">
        <f>IF(AO70="7",BF70,0)</f>
        <v>0</v>
      </c>
      <c r="AC70" s="77">
        <f>IF(AO70="7",BG70,0)</f>
        <v>0</v>
      </c>
      <c r="AD70" s="77">
        <f>IF(AO70="2",BF70,0)</f>
        <v>0</v>
      </c>
      <c r="AE70" s="77">
        <f>IF(AO70="2",BG70,0)</f>
        <v>0</v>
      </c>
      <c r="AF70" s="77">
        <f>IF(AO70="0",BH70,0)</f>
        <v>0</v>
      </c>
      <c r="AG70" s="71" t="s">
        <v>129</v>
      </c>
      <c r="AH70" s="77">
        <f>IF(AL70=0,J70,0)</f>
        <v>0</v>
      </c>
      <c r="AI70" s="77">
        <f>IF(AL70=15,J70,0)</f>
        <v>0</v>
      </c>
      <c r="AJ70" s="77">
        <f>IF(AL70=21,J70,0)</f>
        <v>0</v>
      </c>
      <c r="AL70" s="77">
        <v>21</v>
      </c>
      <c r="AM70" s="77">
        <f>G70*0</f>
        <v>0</v>
      </c>
      <c r="AN70" s="77">
        <f>G70*(1-0)</f>
        <v>0</v>
      </c>
      <c r="AO70" s="79" t="s">
        <v>132</v>
      </c>
      <c r="AT70" s="77">
        <f>AU70+AV70</f>
        <v>0</v>
      </c>
      <c r="AU70" s="77">
        <f>F70*AM70</f>
        <v>0</v>
      </c>
      <c r="AV70" s="77">
        <f>F70*AN70</f>
        <v>0</v>
      </c>
      <c r="AW70" s="79" t="s">
        <v>222</v>
      </c>
      <c r="AX70" s="79" t="s">
        <v>147</v>
      </c>
      <c r="AY70" s="71" t="s">
        <v>137</v>
      </c>
      <c r="BA70" s="77">
        <f>AU70+AV70</f>
        <v>0</v>
      </c>
      <c r="BB70" s="77">
        <f>G70/(100-BC70)*100</f>
        <v>0</v>
      </c>
      <c r="BC70" s="77">
        <v>0</v>
      </c>
      <c r="BD70" s="77">
        <f>L70</f>
        <v>0</v>
      </c>
      <c r="BF70" s="77">
        <f>F70*AM70</f>
        <v>0</v>
      </c>
      <c r="BG70" s="77">
        <f>F70*AN70</f>
        <v>0</v>
      </c>
      <c r="BH70" s="77">
        <f>F70*G70</f>
        <v>0</v>
      </c>
      <c r="BI70" s="77"/>
      <c r="BJ70" s="77">
        <v>16</v>
      </c>
      <c r="BU70" s="77" t="e">
        <f>#REF!</f>
        <v>#REF!</v>
      </c>
      <c r="BV70" s="70" t="s">
        <v>750</v>
      </c>
    </row>
    <row r="71" spans="1:74" ht="40.5" customHeight="1" x14ac:dyDescent="0.25">
      <c r="A71" s="104"/>
      <c r="B71" s="81" t="s">
        <v>138</v>
      </c>
      <c r="C71" s="303" t="s">
        <v>751</v>
      </c>
      <c r="D71" s="304"/>
      <c r="E71" s="304"/>
      <c r="F71" s="304"/>
      <c r="G71" s="304"/>
      <c r="H71" s="304"/>
      <c r="I71" s="304"/>
      <c r="J71" s="304"/>
      <c r="K71" s="304"/>
      <c r="L71" s="304"/>
      <c r="M71" s="305"/>
    </row>
    <row r="72" spans="1:74" x14ac:dyDescent="0.25">
      <c r="A72" s="92" t="s">
        <v>263</v>
      </c>
      <c r="B72" s="69" t="s">
        <v>752</v>
      </c>
      <c r="C72" s="306" t="s">
        <v>753</v>
      </c>
      <c r="D72" s="307"/>
      <c r="E72" s="69" t="s">
        <v>177</v>
      </c>
      <c r="F72" s="77">
        <v>0.7</v>
      </c>
      <c r="G72" s="218">
        <v>0</v>
      </c>
      <c r="H72" s="77">
        <f>F72*AM72</f>
        <v>0</v>
      </c>
      <c r="I72" s="77">
        <f>F72*AN72</f>
        <v>0</v>
      </c>
      <c r="J72" s="77">
        <f>F72*G72</f>
        <v>0</v>
      </c>
      <c r="K72" s="77">
        <v>0</v>
      </c>
      <c r="L72" s="77">
        <f>F72*K72</f>
        <v>0</v>
      </c>
      <c r="M72" s="103" t="s">
        <v>35</v>
      </c>
      <c r="X72" s="77">
        <f>IF(AO72="5",BH72,0)</f>
        <v>0</v>
      </c>
      <c r="Z72" s="77">
        <f>IF(AO72="1",BF72,0)</f>
        <v>0</v>
      </c>
      <c r="AA72" s="77">
        <f>IF(AO72="1",BG72,0)</f>
        <v>0</v>
      </c>
      <c r="AB72" s="77">
        <f>IF(AO72="7",BF72,0)</f>
        <v>0</v>
      </c>
      <c r="AC72" s="77">
        <f>IF(AO72="7",BG72,0)</f>
        <v>0</v>
      </c>
      <c r="AD72" s="77">
        <f>IF(AO72="2",BF72,0)</f>
        <v>0</v>
      </c>
      <c r="AE72" s="77">
        <f>IF(AO72="2",BG72,0)</f>
        <v>0</v>
      </c>
      <c r="AF72" s="77">
        <f>IF(AO72="0",BH72,0)</f>
        <v>0</v>
      </c>
      <c r="AG72" s="71" t="s">
        <v>129</v>
      </c>
      <c r="AH72" s="77">
        <f>IF(AL72=0,J72,0)</f>
        <v>0</v>
      </c>
      <c r="AI72" s="77">
        <f>IF(AL72=15,J72,0)</f>
        <v>0</v>
      </c>
      <c r="AJ72" s="77">
        <f>IF(AL72=21,J72,0)</f>
        <v>0</v>
      </c>
      <c r="AL72" s="77">
        <v>21</v>
      </c>
      <c r="AM72" s="77">
        <f>G72*0</f>
        <v>0</v>
      </c>
      <c r="AN72" s="77">
        <f>G72*(1-0)</f>
        <v>0</v>
      </c>
      <c r="AO72" s="79" t="s">
        <v>132</v>
      </c>
      <c r="AT72" s="77">
        <f>AU72+AV72</f>
        <v>0</v>
      </c>
      <c r="AU72" s="77">
        <f>F72*AM72</f>
        <v>0</v>
      </c>
      <c r="AV72" s="77">
        <f>F72*AN72</f>
        <v>0</v>
      </c>
      <c r="AW72" s="79" t="s">
        <v>222</v>
      </c>
      <c r="AX72" s="79" t="s">
        <v>147</v>
      </c>
      <c r="AY72" s="71" t="s">
        <v>137</v>
      </c>
      <c r="BA72" s="77">
        <f>AU72+AV72</f>
        <v>0</v>
      </c>
      <c r="BB72" s="77">
        <f>G72/(100-BC72)*100</f>
        <v>0</v>
      </c>
      <c r="BC72" s="77">
        <v>0</v>
      </c>
      <c r="BD72" s="77">
        <f>L72</f>
        <v>0</v>
      </c>
      <c r="BF72" s="77">
        <f>F72*AM72</f>
        <v>0</v>
      </c>
      <c r="BG72" s="77">
        <f>F72*AN72</f>
        <v>0</v>
      </c>
      <c r="BH72" s="77">
        <f>F72*G72</f>
        <v>0</v>
      </c>
      <c r="BI72" s="77"/>
      <c r="BJ72" s="77">
        <v>16</v>
      </c>
      <c r="BU72" s="77" t="e">
        <f>#REF!</f>
        <v>#REF!</v>
      </c>
      <c r="BV72" s="70" t="s">
        <v>753</v>
      </c>
    </row>
    <row r="73" spans="1:74" ht="40.5" customHeight="1" x14ac:dyDescent="0.25">
      <c r="A73" s="104"/>
      <c r="B73" s="81" t="s">
        <v>138</v>
      </c>
      <c r="C73" s="303" t="s">
        <v>754</v>
      </c>
      <c r="D73" s="304"/>
      <c r="E73" s="304"/>
      <c r="F73" s="304"/>
      <c r="G73" s="304"/>
      <c r="H73" s="304"/>
      <c r="I73" s="304"/>
      <c r="J73" s="304"/>
      <c r="K73" s="304"/>
      <c r="L73" s="304"/>
      <c r="M73" s="305"/>
    </row>
    <row r="74" spans="1:74" x14ac:dyDescent="0.25">
      <c r="A74" s="105" t="s">
        <v>129</v>
      </c>
      <c r="B74" s="74" t="s">
        <v>214</v>
      </c>
      <c r="C74" s="314" t="s">
        <v>244</v>
      </c>
      <c r="D74" s="315"/>
      <c r="E74" s="75" t="s">
        <v>87</v>
      </c>
      <c r="F74" s="75" t="s">
        <v>87</v>
      </c>
      <c r="G74" s="75" t="s">
        <v>87</v>
      </c>
      <c r="H74" s="67">
        <f>SUM(H75:H78)</f>
        <v>0</v>
      </c>
      <c r="I74" s="67">
        <f>SUM(I75:I78)</f>
        <v>0</v>
      </c>
      <c r="J74" s="67">
        <f>SUM(J75:J78)</f>
        <v>0</v>
      </c>
      <c r="K74" s="71" t="s">
        <v>129</v>
      </c>
      <c r="L74" s="67">
        <f>SUM(L75:L78)</f>
        <v>10.047000000000001</v>
      </c>
      <c r="M74" s="106" t="s">
        <v>129</v>
      </c>
      <c r="AG74" s="71" t="s">
        <v>129</v>
      </c>
      <c r="AQ74" s="67">
        <f>SUM(AH75:AH78)</f>
        <v>0</v>
      </c>
      <c r="AR74" s="67">
        <f>SUM(AI75:AI78)</f>
        <v>0</v>
      </c>
      <c r="AS74" s="67">
        <f>SUM(AJ75:AJ78)</f>
        <v>0</v>
      </c>
    </row>
    <row r="75" spans="1:74" x14ac:dyDescent="0.25">
      <c r="A75" s="92" t="s">
        <v>268</v>
      </c>
      <c r="B75" s="69" t="s">
        <v>246</v>
      </c>
      <c r="C75" s="306" t="s">
        <v>247</v>
      </c>
      <c r="D75" s="307"/>
      <c r="E75" s="69" t="s">
        <v>177</v>
      </c>
      <c r="F75" s="77">
        <v>5.91</v>
      </c>
      <c r="G75" s="218">
        <v>0</v>
      </c>
      <c r="H75" s="77">
        <f>F75*AM75</f>
        <v>0</v>
      </c>
      <c r="I75" s="77">
        <f>F75*AN75</f>
        <v>0</v>
      </c>
      <c r="J75" s="77">
        <f>F75*G75</f>
        <v>0</v>
      </c>
      <c r="K75" s="77">
        <v>1.7</v>
      </c>
      <c r="L75" s="77">
        <f>F75*K75</f>
        <v>10.047000000000001</v>
      </c>
      <c r="M75" s="103" t="s">
        <v>35</v>
      </c>
      <c r="X75" s="77">
        <f>IF(AO75="5",BH75,0)</f>
        <v>0</v>
      </c>
      <c r="Z75" s="77">
        <f>IF(AO75="1",BF75,0)</f>
        <v>0</v>
      </c>
      <c r="AA75" s="77">
        <f>IF(AO75="1",BG75,0)</f>
        <v>0</v>
      </c>
      <c r="AB75" s="77">
        <f>IF(AO75="7",BF75,0)</f>
        <v>0</v>
      </c>
      <c r="AC75" s="77">
        <f>IF(AO75="7",BG75,0)</f>
        <v>0</v>
      </c>
      <c r="AD75" s="77">
        <f>IF(AO75="2",BF75,0)</f>
        <v>0</v>
      </c>
      <c r="AE75" s="77">
        <f>IF(AO75="2",BG75,0)</f>
        <v>0</v>
      </c>
      <c r="AF75" s="77">
        <f>IF(AO75="0",BH75,0)</f>
        <v>0</v>
      </c>
      <c r="AG75" s="71" t="s">
        <v>129</v>
      </c>
      <c r="AH75" s="77">
        <f>IF(AL75=0,J75,0)</f>
        <v>0</v>
      </c>
      <c r="AI75" s="77">
        <f>IF(AL75=15,J75,0)</f>
        <v>0</v>
      </c>
      <c r="AJ75" s="77">
        <f>IF(AL75=21,J75,0)</f>
        <v>0</v>
      </c>
      <c r="AL75" s="77">
        <v>21</v>
      </c>
      <c r="AM75" s="77">
        <f>G75*0.512975767</f>
        <v>0</v>
      </c>
      <c r="AN75" s="77">
        <f>G75*(1-0.512975767)</f>
        <v>0</v>
      </c>
      <c r="AO75" s="79" t="s">
        <v>132</v>
      </c>
      <c r="AT75" s="77">
        <f>AU75+AV75</f>
        <v>0</v>
      </c>
      <c r="AU75" s="77">
        <f>F75*AM75</f>
        <v>0</v>
      </c>
      <c r="AV75" s="77">
        <f>F75*AN75</f>
        <v>0</v>
      </c>
      <c r="AW75" s="79" t="s">
        <v>248</v>
      </c>
      <c r="AX75" s="79" t="s">
        <v>147</v>
      </c>
      <c r="AY75" s="71" t="s">
        <v>137</v>
      </c>
      <c r="BA75" s="77">
        <f>AU75+AV75</f>
        <v>0</v>
      </c>
      <c r="BB75" s="77">
        <f>G75/(100-BC75)*100</f>
        <v>0</v>
      </c>
      <c r="BC75" s="77">
        <v>0</v>
      </c>
      <c r="BD75" s="77">
        <f>L75</f>
        <v>10.047000000000001</v>
      </c>
      <c r="BF75" s="77">
        <f>F75*AM75</f>
        <v>0</v>
      </c>
      <c r="BG75" s="77">
        <f>F75*AN75</f>
        <v>0</v>
      </c>
      <c r="BH75" s="77">
        <f>F75*G75</f>
        <v>0</v>
      </c>
      <c r="BI75" s="77"/>
      <c r="BJ75" s="77">
        <v>17</v>
      </c>
      <c r="BU75" s="77" t="e">
        <f>#REF!</f>
        <v>#REF!</v>
      </c>
      <c r="BV75" s="70" t="s">
        <v>247</v>
      </c>
    </row>
    <row r="76" spans="1:74" ht="67.5" customHeight="1" x14ac:dyDescent="0.25">
      <c r="A76" s="104"/>
      <c r="B76" s="81" t="s">
        <v>138</v>
      </c>
      <c r="C76" s="303" t="s">
        <v>755</v>
      </c>
      <c r="D76" s="304"/>
      <c r="E76" s="304"/>
      <c r="F76" s="304"/>
      <c r="G76" s="304"/>
      <c r="H76" s="304"/>
      <c r="I76" s="304"/>
      <c r="J76" s="304"/>
      <c r="K76" s="304"/>
      <c r="L76" s="304"/>
      <c r="M76" s="305"/>
    </row>
    <row r="77" spans="1:74" x14ac:dyDescent="0.25">
      <c r="A77" s="92" t="s">
        <v>274</v>
      </c>
      <c r="B77" s="69" t="s">
        <v>251</v>
      </c>
      <c r="C77" s="306" t="s">
        <v>252</v>
      </c>
      <c r="D77" s="307"/>
      <c r="E77" s="69" t="s">
        <v>177</v>
      </c>
      <c r="F77" s="77">
        <v>5.91</v>
      </c>
      <c r="G77" s="218">
        <v>0</v>
      </c>
      <c r="H77" s="77">
        <f>F77*AM77</f>
        <v>0</v>
      </c>
      <c r="I77" s="77">
        <f>F77*AN77</f>
        <v>0</v>
      </c>
      <c r="J77" s="77">
        <f>F77*G77</f>
        <v>0</v>
      </c>
      <c r="K77" s="77">
        <v>0</v>
      </c>
      <c r="L77" s="77">
        <f>F77*K77</f>
        <v>0</v>
      </c>
      <c r="M77" s="103" t="s">
        <v>35</v>
      </c>
      <c r="X77" s="77">
        <f>IF(AO77="5",BH77,0)</f>
        <v>0</v>
      </c>
      <c r="Z77" s="77">
        <f>IF(AO77="1",BF77,0)</f>
        <v>0</v>
      </c>
      <c r="AA77" s="77">
        <f>IF(AO77="1",BG77,0)</f>
        <v>0</v>
      </c>
      <c r="AB77" s="77">
        <f>IF(AO77="7",BF77,0)</f>
        <v>0</v>
      </c>
      <c r="AC77" s="77">
        <f>IF(AO77="7",BG77,0)</f>
        <v>0</v>
      </c>
      <c r="AD77" s="77">
        <f>IF(AO77="2",BF77,0)</f>
        <v>0</v>
      </c>
      <c r="AE77" s="77">
        <f>IF(AO77="2",BG77,0)</f>
        <v>0</v>
      </c>
      <c r="AF77" s="77">
        <f>IF(AO77="0",BH77,0)</f>
        <v>0</v>
      </c>
      <c r="AG77" s="71" t="s">
        <v>129</v>
      </c>
      <c r="AH77" s="77">
        <f>IF(AL77=0,J77,0)</f>
        <v>0</v>
      </c>
      <c r="AI77" s="77">
        <f>IF(AL77=15,J77,0)</f>
        <v>0</v>
      </c>
      <c r="AJ77" s="77">
        <f>IF(AL77=21,J77,0)</f>
        <v>0</v>
      </c>
      <c r="AL77" s="77">
        <v>21</v>
      </c>
      <c r="AM77" s="77">
        <f>G77*0</f>
        <v>0</v>
      </c>
      <c r="AN77" s="77">
        <f>G77*(1-0)</f>
        <v>0</v>
      </c>
      <c r="AO77" s="79" t="s">
        <v>132</v>
      </c>
      <c r="AT77" s="77">
        <f>AU77+AV77</f>
        <v>0</v>
      </c>
      <c r="AU77" s="77">
        <f>F77*AM77</f>
        <v>0</v>
      </c>
      <c r="AV77" s="77">
        <f>F77*AN77</f>
        <v>0</v>
      </c>
      <c r="AW77" s="79" t="s">
        <v>248</v>
      </c>
      <c r="AX77" s="79" t="s">
        <v>147</v>
      </c>
      <c r="AY77" s="71" t="s">
        <v>137</v>
      </c>
      <c r="BA77" s="77">
        <f>AU77+AV77</f>
        <v>0</v>
      </c>
      <c r="BB77" s="77">
        <f>G77/(100-BC77)*100</f>
        <v>0</v>
      </c>
      <c r="BC77" s="77">
        <v>0</v>
      </c>
      <c r="BD77" s="77">
        <f>L77</f>
        <v>0</v>
      </c>
      <c r="BF77" s="77">
        <f>F77*AM77</f>
        <v>0</v>
      </c>
      <c r="BG77" s="77">
        <f>F77*AN77</f>
        <v>0</v>
      </c>
      <c r="BH77" s="77">
        <f>F77*G77</f>
        <v>0</v>
      </c>
      <c r="BI77" s="77"/>
      <c r="BJ77" s="77">
        <v>17</v>
      </c>
      <c r="BU77" s="77" t="e">
        <f>#REF!</f>
        <v>#REF!</v>
      </c>
      <c r="BV77" s="70" t="s">
        <v>252</v>
      </c>
    </row>
    <row r="78" spans="1:74" x14ac:dyDescent="0.25">
      <c r="A78" s="92" t="s">
        <v>278</v>
      </c>
      <c r="B78" s="69" t="s">
        <v>254</v>
      </c>
      <c r="C78" s="306" t="s">
        <v>255</v>
      </c>
      <c r="D78" s="307"/>
      <c r="E78" s="69" t="s">
        <v>177</v>
      </c>
      <c r="F78" s="77">
        <v>6.33</v>
      </c>
      <c r="G78" s="218">
        <v>0</v>
      </c>
      <c r="H78" s="77">
        <f>F78*AM78</f>
        <v>0</v>
      </c>
      <c r="I78" s="77">
        <f>F78*AN78</f>
        <v>0</v>
      </c>
      <c r="J78" s="77">
        <f>F78*G78</f>
        <v>0</v>
      </c>
      <c r="K78" s="77">
        <v>0</v>
      </c>
      <c r="L78" s="77">
        <f>F78*K78</f>
        <v>0</v>
      </c>
      <c r="M78" s="103" t="s">
        <v>35</v>
      </c>
      <c r="X78" s="77">
        <f>IF(AO78="5",BH78,0)</f>
        <v>0</v>
      </c>
      <c r="Z78" s="77">
        <f>IF(AO78="1",BF78,0)</f>
        <v>0</v>
      </c>
      <c r="AA78" s="77">
        <f>IF(AO78="1",BG78,0)</f>
        <v>0</v>
      </c>
      <c r="AB78" s="77">
        <f>IF(AO78="7",BF78,0)</f>
        <v>0</v>
      </c>
      <c r="AC78" s="77">
        <f>IF(AO78="7",BG78,0)</f>
        <v>0</v>
      </c>
      <c r="AD78" s="77">
        <f>IF(AO78="2",BF78,0)</f>
        <v>0</v>
      </c>
      <c r="AE78" s="77">
        <f>IF(AO78="2",BG78,0)</f>
        <v>0</v>
      </c>
      <c r="AF78" s="77">
        <f>IF(AO78="0",BH78,0)</f>
        <v>0</v>
      </c>
      <c r="AG78" s="71" t="s">
        <v>129</v>
      </c>
      <c r="AH78" s="77">
        <f>IF(AL78=0,J78,0)</f>
        <v>0</v>
      </c>
      <c r="AI78" s="77">
        <f>IF(AL78=15,J78,0)</f>
        <v>0</v>
      </c>
      <c r="AJ78" s="77">
        <f>IF(AL78=21,J78,0)</f>
        <v>0</v>
      </c>
      <c r="AL78" s="77">
        <v>21</v>
      </c>
      <c r="AM78" s="77">
        <f>G78*0</f>
        <v>0</v>
      </c>
      <c r="AN78" s="77">
        <f>G78*(1-0)</f>
        <v>0</v>
      </c>
      <c r="AO78" s="79" t="s">
        <v>132</v>
      </c>
      <c r="AT78" s="77">
        <f>AU78+AV78</f>
        <v>0</v>
      </c>
      <c r="AU78" s="77">
        <f>F78*AM78</f>
        <v>0</v>
      </c>
      <c r="AV78" s="77">
        <f>F78*AN78</f>
        <v>0</v>
      </c>
      <c r="AW78" s="79" t="s">
        <v>248</v>
      </c>
      <c r="AX78" s="79" t="s">
        <v>147</v>
      </c>
      <c r="AY78" s="71" t="s">
        <v>137</v>
      </c>
      <c r="BA78" s="77">
        <f>AU78+AV78</f>
        <v>0</v>
      </c>
      <c r="BB78" s="77">
        <f>G78/(100-BC78)*100</f>
        <v>0</v>
      </c>
      <c r="BC78" s="77">
        <v>0</v>
      </c>
      <c r="BD78" s="77">
        <f>L78</f>
        <v>0</v>
      </c>
      <c r="BF78" s="77">
        <f>F78*AM78</f>
        <v>0</v>
      </c>
      <c r="BG78" s="77">
        <f>F78*AN78</f>
        <v>0</v>
      </c>
      <c r="BH78" s="77">
        <f>F78*G78</f>
        <v>0</v>
      </c>
      <c r="BI78" s="77"/>
      <c r="BJ78" s="77">
        <v>17</v>
      </c>
      <c r="BU78" s="77" t="e">
        <f>#REF!</f>
        <v>#REF!</v>
      </c>
      <c r="BV78" s="70" t="s">
        <v>255</v>
      </c>
    </row>
    <row r="79" spans="1:74" ht="81" customHeight="1" thickBot="1" x14ac:dyDescent="0.3">
      <c r="A79" s="107"/>
      <c r="B79" s="108" t="s">
        <v>138</v>
      </c>
      <c r="C79" s="308" t="s">
        <v>756</v>
      </c>
      <c r="D79" s="309"/>
      <c r="E79" s="309"/>
      <c r="F79" s="309"/>
      <c r="G79" s="309"/>
      <c r="H79" s="309"/>
      <c r="I79" s="309"/>
      <c r="J79" s="309"/>
      <c r="K79" s="309"/>
      <c r="L79" s="309"/>
      <c r="M79" s="310"/>
    </row>
    <row r="80" spans="1:74" x14ac:dyDescent="0.25">
      <c r="A80" s="97" t="s">
        <v>129</v>
      </c>
      <c r="B80" s="98" t="s">
        <v>219</v>
      </c>
      <c r="C80" s="318" t="s">
        <v>757</v>
      </c>
      <c r="D80" s="319"/>
      <c r="E80" s="99" t="s">
        <v>87</v>
      </c>
      <c r="F80" s="99" t="s">
        <v>87</v>
      </c>
      <c r="G80" s="99" t="s">
        <v>87</v>
      </c>
      <c r="H80" s="100">
        <f>SUM(H81:H81)</f>
        <v>0</v>
      </c>
      <c r="I80" s="100">
        <f>SUM(I81:I81)</f>
        <v>0</v>
      </c>
      <c r="J80" s="100">
        <f>SUM(J81:J81)</f>
        <v>0</v>
      </c>
      <c r="K80" s="101" t="s">
        <v>129</v>
      </c>
      <c r="L80" s="100">
        <f>SUM(L81:L81)</f>
        <v>5.2500000000000002E-5</v>
      </c>
      <c r="M80" s="102" t="s">
        <v>129</v>
      </c>
      <c r="AG80" s="71" t="s">
        <v>129</v>
      </c>
      <c r="AQ80" s="67">
        <f>SUM(AH81:AH81)</f>
        <v>0</v>
      </c>
      <c r="AR80" s="67">
        <f>SUM(AI81:AI81)</f>
        <v>0</v>
      </c>
      <c r="AS80" s="67">
        <f>SUM(AJ81:AJ81)</f>
        <v>0</v>
      </c>
    </row>
    <row r="81" spans="1:74" x14ac:dyDescent="0.25">
      <c r="A81" s="92" t="s">
        <v>283</v>
      </c>
      <c r="B81" s="69" t="s">
        <v>758</v>
      </c>
      <c r="C81" s="306" t="s">
        <v>759</v>
      </c>
      <c r="D81" s="307"/>
      <c r="E81" s="69" t="s">
        <v>166</v>
      </c>
      <c r="F81" s="77">
        <v>1.75</v>
      </c>
      <c r="G81" s="218">
        <v>0</v>
      </c>
      <c r="H81" s="77">
        <f>F81*AM81</f>
        <v>0</v>
      </c>
      <c r="I81" s="77">
        <f>F81*AN81</f>
        <v>0</v>
      </c>
      <c r="J81" s="77">
        <f>F81*G81</f>
        <v>0</v>
      </c>
      <c r="K81" s="77">
        <v>3.0000000000000001E-5</v>
      </c>
      <c r="L81" s="77">
        <f>F81*K81</f>
        <v>5.2500000000000002E-5</v>
      </c>
      <c r="M81" s="103" t="s">
        <v>35</v>
      </c>
      <c r="X81" s="77">
        <f>IF(AO81="5",BH81,0)</f>
        <v>0</v>
      </c>
      <c r="Z81" s="77">
        <f>IF(AO81="1",BF81,0)</f>
        <v>0</v>
      </c>
      <c r="AA81" s="77">
        <f>IF(AO81="1",BG81,0)</f>
        <v>0</v>
      </c>
      <c r="AB81" s="77">
        <f>IF(AO81="7",BF81,0)</f>
        <v>0</v>
      </c>
      <c r="AC81" s="77">
        <f>IF(AO81="7",BG81,0)</f>
        <v>0</v>
      </c>
      <c r="AD81" s="77">
        <f>IF(AO81="2",BF81,0)</f>
        <v>0</v>
      </c>
      <c r="AE81" s="77">
        <f>IF(AO81="2",BG81,0)</f>
        <v>0</v>
      </c>
      <c r="AF81" s="77">
        <f>IF(AO81="0",BH81,0)</f>
        <v>0</v>
      </c>
      <c r="AG81" s="71" t="s">
        <v>129</v>
      </c>
      <c r="AH81" s="77">
        <f>IF(AL81=0,J81,0)</f>
        <v>0</v>
      </c>
      <c r="AI81" s="77">
        <f>IF(AL81=15,J81,0)</f>
        <v>0</v>
      </c>
      <c r="AJ81" s="77">
        <f>IF(AL81=21,J81,0)</f>
        <v>0</v>
      </c>
      <c r="AL81" s="77">
        <v>21</v>
      </c>
      <c r="AM81" s="77">
        <f>G81*0.041051995</f>
        <v>0</v>
      </c>
      <c r="AN81" s="77">
        <f>G81*(1-0.041051995)</f>
        <v>0</v>
      </c>
      <c r="AO81" s="79" t="s">
        <v>132</v>
      </c>
      <c r="AT81" s="77">
        <f>AU81+AV81</f>
        <v>0</v>
      </c>
      <c r="AU81" s="77">
        <f>F81*AM81</f>
        <v>0</v>
      </c>
      <c r="AV81" s="77">
        <f>F81*AN81</f>
        <v>0</v>
      </c>
      <c r="AW81" s="79" t="s">
        <v>760</v>
      </c>
      <c r="AX81" s="79" t="s">
        <v>147</v>
      </c>
      <c r="AY81" s="71" t="s">
        <v>137</v>
      </c>
      <c r="BA81" s="77">
        <f>AU81+AV81</f>
        <v>0</v>
      </c>
      <c r="BB81" s="77">
        <f>G81/(100-BC81)*100</f>
        <v>0</v>
      </c>
      <c r="BC81" s="77">
        <v>0</v>
      </c>
      <c r="BD81" s="77">
        <f>L81</f>
        <v>5.2500000000000002E-5</v>
      </c>
      <c r="BF81" s="77">
        <f>F81*AM81</f>
        <v>0</v>
      </c>
      <c r="BG81" s="77">
        <f>F81*AN81</f>
        <v>0</v>
      </c>
      <c r="BH81" s="77">
        <f>F81*G81</f>
        <v>0</v>
      </c>
      <c r="BI81" s="77"/>
      <c r="BJ81" s="77">
        <v>18</v>
      </c>
      <c r="BU81" s="77" t="e">
        <f>#REF!</f>
        <v>#REF!</v>
      </c>
      <c r="BV81" s="70" t="s">
        <v>759</v>
      </c>
    </row>
    <row r="82" spans="1:74" ht="40.5" customHeight="1" x14ac:dyDescent="0.25">
      <c r="A82" s="104"/>
      <c r="B82" s="81" t="s">
        <v>138</v>
      </c>
      <c r="C82" s="303" t="s">
        <v>761</v>
      </c>
      <c r="D82" s="304"/>
      <c r="E82" s="304"/>
      <c r="F82" s="304"/>
      <c r="G82" s="304"/>
      <c r="H82" s="304"/>
      <c r="I82" s="304"/>
      <c r="J82" s="304"/>
      <c r="K82" s="304"/>
      <c r="L82" s="304"/>
      <c r="M82" s="305"/>
    </row>
    <row r="83" spans="1:74" x14ac:dyDescent="0.25">
      <c r="A83" s="105" t="s">
        <v>129</v>
      </c>
      <c r="B83" s="74" t="s">
        <v>224</v>
      </c>
      <c r="C83" s="314" t="s">
        <v>257</v>
      </c>
      <c r="D83" s="315"/>
      <c r="E83" s="75" t="s">
        <v>87</v>
      </c>
      <c r="F83" s="75" t="s">
        <v>87</v>
      </c>
      <c r="G83" s="75" t="s">
        <v>87</v>
      </c>
      <c r="H83" s="67">
        <f>SUM(H84:H86)</f>
        <v>0</v>
      </c>
      <c r="I83" s="67">
        <f>SUM(I84:I86)</f>
        <v>0</v>
      </c>
      <c r="J83" s="67">
        <f>SUM(J84:J86)</f>
        <v>0</v>
      </c>
      <c r="K83" s="71" t="s">
        <v>129</v>
      </c>
      <c r="L83" s="67">
        <f>SUM(L84:L86)</f>
        <v>0</v>
      </c>
      <c r="M83" s="106" t="s">
        <v>129</v>
      </c>
      <c r="AG83" s="71" t="s">
        <v>129</v>
      </c>
      <c r="AQ83" s="67">
        <f>SUM(AH84:AH86)</f>
        <v>0</v>
      </c>
      <c r="AR83" s="67">
        <f>SUM(AI84:AI86)</f>
        <v>0</v>
      </c>
      <c r="AS83" s="67">
        <f>SUM(AJ84:AJ86)</f>
        <v>0</v>
      </c>
    </row>
    <row r="84" spans="1:74" x14ac:dyDescent="0.25">
      <c r="A84" s="92" t="s">
        <v>290</v>
      </c>
      <c r="B84" s="69" t="s">
        <v>259</v>
      </c>
      <c r="C84" s="306" t="s">
        <v>260</v>
      </c>
      <c r="D84" s="307"/>
      <c r="E84" s="69" t="s">
        <v>177</v>
      </c>
      <c r="F84" s="77">
        <v>9.0299999999999994</v>
      </c>
      <c r="G84" s="218">
        <v>0</v>
      </c>
      <c r="H84" s="77">
        <f>F84*AM84</f>
        <v>0</v>
      </c>
      <c r="I84" s="77">
        <f>F84*AN84</f>
        <v>0</v>
      </c>
      <c r="J84" s="77">
        <f>F84*G84</f>
        <v>0</v>
      </c>
      <c r="K84" s="77">
        <v>0</v>
      </c>
      <c r="L84" s="77">
        <f>F84*K84</f>
        <v>0</v>
      </c>
      <c r="M84" s="103" t="s">
        <v>35</v>
      </c>
      <c r="X84" s="77">
        <f>IF(AO84="5",BH84,0)</f>
        <v>0</v>
      </c>
      <c r="Z84" s="77">
        <f>IF(AO84="1",BF84,0)</f>
        <v>0</v>
      </c>
      <c r="AA84" s="77">
        <f>IF(AO84="1",BG84,0)</f>
        <v>0</v>
      </c>
      <c r="AB84" s="77">
        <f>IF(AO84="7",BF84,0)</f>
        <v>0</v>
      </c>
      <c r="AC84" s="77">
        <f>IF(AO84="7",BG84,0)</f>
        <v>0</v>
      </c>
      <c r="AD84" s="77">
        <f>IF(AO84="2",BF84,0)</f>
        <v>0</v>
      </c>
      <c r="AE84" s="77">
        <f>IF(AO84="2",BG84,0)</f>
        <v>0</v>
      </c>
      <c r="AF84" s="77">
        <f>IF(AO84="0",BH84,0)</f>
        <v>0</v>
      </c>
      <c r="AG84" s="71" t="s">
        <v>129</v>
      </c>
      <c r="AH84" s="77">
        <f>IF(AL84=0,J84,0)</f>
        <v>0</v>
      </c>
      <c r="AI84" s="77">
        <f>IF(AL84=15,J84,0)</f>
        <v>0</v>
      </c>
      <c r="AJ84" s="77">
        <f>IF(AL84=21,J84,0)</f>
        <v>0</v>
      </c>
      <c r="AL84" s="77">
        <v>21</v>
      </c>
      <c r="AM84" s="77">
        <f>G84*0</f>
        <v>0</v>
      </c>
      <c r="AN84" s="77">
        <f>G84*(1-0)</f>
        <v>0</v>
      </c>
      <c r="AO84" s="79" t="s">
        <v>132</v>
      </c>
      <c r="AT84" s="77">
        <f>AU84+AV84</f>
        <v>0</v>
      </c>
      <c r="AU84" s="77">
        <f>F84*AM84</f>
        <v>0</v>
      </c>
      <c r="AV84" s="77">
        <f>F84*AN84</f>
        <v>0</v>
      </c>
      <c r="AW84" s="79" t="s">
        <v>261</v>
      </c>
      <c r="AX84" s="79" t="s">
        <v>147</v>
      </c>
      <c r="AY84" s="71" t="s">
        <v>137</v>
      </c>
      <c r="BA84" s="77">
        <f>AU84+AV84</f>
        <v>0</v>
      </c>
      <c r="BB84" s="77">
        <f>G84/(100-BC84)*100</f>
        <v>0</v>
      </c>
      <c r="BC84" s="77">
        <v>0</v>
      </c>
      <c r="BD84" s="77">
        <f>L84</f>
        <v>0</v>
      </c>
      <c r="BF84" s="77">
        <f>F84*AM84</f>
        <v>0</v>
      </c>
      <c r="BG84" s="77">
        <f>F84*AN84</f>
        <v>0</v>
      </c>
      <c r="BH84" s="77">
        <f>F84*G84</f>
        <v>0</v>
      </c>
      <c r="BI84" s="77"/>
      <c r="BJ84" s="77">
        <v>19</v>
      </c>
      <c r="BU84" s="77" t="e">
        <f>#REF!</f>
        <v>#REF!</v>
      </c>
      <c r="BV84" s="70" t="s">
        <v>260</v>
      </c>
    </row>
    <row r="85" spans="1:74" ht="13.5" customHeight="1" x14ac:dyDescent="0.25">
      <c r="A85" s="104"/>
      <c r="B85" s="81" t="s">
        <v>138</v>
      </c>
      <c r="C85" s="303" t="s">
        <v>515</v>
      </c>
      <c r="D85" s="304"/>
      <c r="E85" s="304"/>
      <c r="F85" s="304"/>
      <c r="G85" s="304"/>
      <c r="H85" s="304"/>
      <c r="I85" s="304"/>
      <c r="J85" s="304"/>
      <c r="K85" s="304"/>
      <c r="L85" s="304"/>
      <c r="M85" s="305"/>
    </row>
    <row r="86" spans="1:74" x14ac:dyDescent="0.25">
      <c r="A86" s="92" t="s">
        <v>298</v>
      </c>
      <c r="B86" s="69" t="s">
        <v>264</v>
      </c>
      <c r="C86" s="306" t="s">
        <v>265</v>
      </c>
      <c r="D86" s="307"/>
      <c r="E86" s="69" t="s">
        <v>177</v>
      </c>
      <c r="F86" s="77">
        <v>7.75</v>
      </c>
      <c r="G86" s="218">
        <v>0</v>
      </c>
      <c r="H86" s="77">
        <f>F86*AM86</f>
        <v>0</v>
      </c>
      <c r="I86" s="77">
        <f>F86*AN86</f>
        <v>0</v>
      </c>
      <c r="J86" s="77">
        <f>F86*G86</f>
        <v>0</v>
      </c>
      <c r="K86" s="77">
        <v>0</v>
      </c>
      <c r="L86" s="77">
        <f>F86*K86</f>
        <v>0</v>
      </c>
      <c r="M86" s="103" t="s">
        <v>35</v>
      </c>
      <c r="X86" s="77">
        <f>IF(AO86="5",BH86,0)</f>
        <v>0</v>
      </c>
      <c r="Z86" s="77">
        <f>IF(AO86="1",BF86,0)</f>
        <v>0</v>
      </c>
      <c r="AA86" s="77">
        <f>IF(AO86="1",BG86,0)</f>
        <v>0</v>
      </c>
      <c r="AB86" s="77">
        <f>IF(AO86="7",BF86,0)</f>
        <v>0</v>
      </c>
      <c r="AC86" s="77">
        <f>IF(AO86="7",BG86,0)</f>
        <v>0</v>
      </c>
      <c r="AD86" s="77">
        <f>IF(AO86="2",BF86,0)</f>
        <v>0</v>
      </c>
      <c r="AE86" s="77">
        <f>IF(AO86="2",BG86,0)</f>
        <v>0</v>
      </c>
      <c r="AF86" s="77">
        <f>IF(AO86="0",BH86,0)</f>
        <v>0</v>
      </c>
      <c r="AG86" s="71" t="s">
        <v>129</v>
      </c>
      <c r="AH86" s="77">
        <f>IF(AL86=0,J86,0)</f>
        <v>0</v>
      </c>
      <c r="AI86" s="77">
        <f>IF(AL86=15,J86,0)</f>
        <v>0</v>
      </c>
      <c r="AJ86" s="77">
        <f>IF(AL86=21,J86,0)</f>
        <v>0</v>
      </c>
      <c r="AL86" s="77">
        <v>21</v>
      </c>
      <c r="AM86" s="77">
        <f>G86*0</f>
        <v>0</v>
      </c>
      <c r="AN86" s="77">
        <f>G86*(1-0)</f>
        <v>0</v>
      </c>
      <c r="AO86" s="79" t="s">
        <v>132</v>
      </c>
      <c r="AT86" s="77">
        <f>AU86+AV86</f>
        <v>0</v>
      </c>
      <c r="AU86" s="77">
        <f>F86*AM86</f>
        <v>0</v>
      </c>
      <c r="AV86" s="77">
        <f>F86*AN86</f>
        <v>0</v>
      </c>
      <c r="AW86" s="79" t="s">
        <v>261</v>
      </c>
      <c r="AX86" s="79" t="s">
        <v>147</v>
      </c>
      <c r="AY86" s="71" t="s">
        <v>137</v>
      </c>
      <c r="BA86" s="77">
        <f>AU86+AV86</f>
        <v>0</v>
      </c>
      <c r="BB86" s="77">
        <f>G86/(100-BC86)*100</f>
        <v>0</v>
      </c>
      <c r="BC86" s="77">
        <v>0</v>
      </c>
      <c r="BD86" s="77">
        <f>L86</f>
        <v>0</v>
      </c>
      <c r="BF86" s="77">
        <f>F86*AM86</f>
        <v>0</v>
      </c>
      <c r="BG86" s="77">
        <f>F86*AN86</f>
        <v>0</v>
      </c>
      <c r="BH86" s="77">
        <f>F86*G86</f>
        <v>0</v>
      </c>
      <c r="BI86" s="77"/>
      <c r="BJ86" s="77">
        <v>19</v>
      </c>
      <c r="BU86" s="77" t="e">
        <f>#REF!</f>
        <v>#REF!</v>
      </c>
      <c r="BV86" s="70" t="s">
        <v>265</v>
      </c>
    </row>
    <row r="87" spans="1:74" ht="13.5" customHeight="1" x14ac:dyDescent="0.25">
      <c r="A87" s="104"/>
      <c r="B87" s="81" t="s">
        <v>138</v>
      </c>
      <c r="C87" s="303" t="s">
        <v>515</v>
      </c>
      <c r="D87" s="304"/>
      <c r="E87" s="304"/>
      <c r="F87" s="304"/>
      <c r="G87" s="304"/>
      <c r="H87" s="304"/>
      <c r="I87" s="304"/>
      <c r="J87" s="304"/>
      <c r="K87" s="304"/>
      <c r="L87" s="304"/>
      <c r="M87" s="305"/>
    </row>
    <row r="88" spans="1:74" x14ac:dyDescent="0.25">
      <c r="A88" s="105" t="s">
        <v>129</v>
      </c>
      <c r="B88" s="74" t="s">
        <v>232</v>
      </c>
      <c r="C88" s="314" t="s">
        <v>267</v>
      </c>
      <c r="D88" s="315"/>
      <c r="E88" s="75" t="s">
        <v>87</v>
      </c>
      <c r="F88" s="75" t="s">
        <v>87</v>
      </c>
      <c r="G88" s="75" t="s">
        <v>87</v>
      </c>
      <c r="H88" s="67">
        <f>SUM(H89:H91)</f>
        <v>0</v>
      </c>
      <c r="I88" s="67">
        <f>SUM(I89:I91)</f>
        <v>0</v>
      </c>
      <c r="J88" s="67">
        <f>SUM(J89:J91)</f>
        <v>0</v>
      </c>
      <c r="K88" s="71" t="s">
        <v>129</v>
      </c>
      <c r="L88" s="67">
        <f>SUM(L89:L91)</f>
        <v>4.3625000000000007</v>
      </c>
      <c r="M88" s="106" t="s">
        <v>129</v>
      </c>
      <c r="AG88" s="71" t="s">
        <v>129</v>
      </c>
      <c r="AQ88" s="67">
        <f>SUM(AH89:AH91)</f>
        <v>0</v>
      </c>
      <c r="AR88" s="67">
        <f>SUM(AI89:AI91)</f>
        <v>0</v>
      </c>
      <c r="AS88" s="67">
        <f>SUM(AJ89:AJ91)</f>
        <v>0</v>
      </c>
    </row>
    <row r="89" spans="1:74" x14ac:dyDescent="0.25">
      <c r="A89" s="92" t="s">
        <v>304</v>
      </c>
      <c r="B89" s="69" t="s">
        <v>269</v>
      </c>
      <c r="C89" s="306" t="s">
        <v>270</v>
      </c>
      <c r="D89" s="307"/>
      <c r="E89" s="69" t="s">
        <v>166</v>
      </c>
      <c r="F89" s="77">
        <v>12.28</v>
      </c>
      <c r="G89" s="218">
        <v>0</v>
      </c>
      <c r="H89" s="77">
        <f>F89*AM89</f>
        <v>0</v>
      </c>
      <c r="I89" s="77">
        <f>F89*AN89</f>
        <v>0</v>
      </c>
      <c r="J89" s="77">
        <f>F89*G89</f>
        <v>0</v>
      </c>
      <c r="K89" s="77">
        <v>0</v>
      </c>
      <c r="L89" s="77">
        <f>F89*K89</f>
        <v>0</v>
      </c>
      <c r="M89" s="103" t="s">
        <v>35</v>
      </c>
      <c r="X89" s="77">
        <f>IF(AO89="5",BH89,0)</f>
        <v>0</v>
      </c>
      <c r="Z89" s="77">
        <f>IF(AO89="1",BF89,0)</f>
        <v>0</v>
      </c>
      <c r="AA89" s="77">
        <f>IF(AO89="1",BG89,0)</f>
        <v>0</v>
      </c>
      <c r="AB89" s="77">
        <f>IF(AO89="7",BF89,0)</f>
        <v>0</v>
      </c>
      <c r="AC89" s="77">
        <f>IF(AO89="7",BG89,0)</f>
        <v>0</v>
      </c>
      <c r="AD89" s="77">
        <f>IF(AO89="2",BF89,0)</f>
        <v>0</v>
      </c>
      <c r="AE89" s="77">
        <f>IF(AO89="2",BG89,0)</f>
        <v>0</v>
      </c>
      <c r="AF89" s="77">
        <f>IF(AO89="0",BH89,0)</f>
        <v>0</v>
      </c>
      <c r="AG89" s="71" t="s">
        <v>129</v>
      </c>
      <c r="AH89" s="77">
        <f>IF(AL89=0,J89,0)</f>
        <v>0</v>
      </c>
      <c r="AI89" s="77">
        <f>IF(AL89=15,J89,0)</f>
        <v>0</v>
      </c>
      <c r="AJ89" s="77">
        <f>IF(AL89=21,J89,0)</f>
        <v>0</v>
      </c>
      <c r="AL89" s="77">
        <v>21</v>
      </c>
      <c r="AM89" s="77">
        <f>G89*0</f>
        <v>0</v>
      </c>
      <c r="AN89" s="77">
        <f>G89*(1-0)</f>
        <v>0</v>
      </c>
      <c r="AO89" s="79" t="s">
        <v>132</v>
      </c>
      <c r="AT89" s="77">
        <f>AU89+AV89</f>
        <v>0</v>
      </c>
      <c r="AU89" s="77">
        <f>F89*AM89</f>
        <v>0</v>
      </c>
      <c r="AV89" s="77">
        <f>F89*AN89</f>
        <v>0</v>
      </c>
      <c r="AW89" s="79" t="s">
        <v>271</v>
      </c>
      <c r="AX89" s="79" t="s">
        <v>272</v>
      </c>
      <c r="AY89" s="71" t="s">
        <v>137</v>
      </c>
      <c r="BA89" s="77">
        <f>AU89+AV89</f>
        <v>0</v>
      </c>
      <c r="BB89" s="77">
        <f>G89/(100-BC89)*100</f>
        <v>0</v>
      </c>
      <c r="BC89" s="77">
        <v>0</v>
      </c>
      <c r="BD89" s="77">
        <f>L89</f>
        <v>0</v>
      </c>
      <c r="BF89" s="77">
        <f>F89*AM89</f>
        <v>0</v>
      </c>
      <c r="BG89" s="77">
        <f>F89*AN89</f>
        <v>0</v>
      </c>
      <c r="BH89" s="77">
        <f>F89*G89</f>
        <v>0</v>
      </c>
      <c r="BI89" s="77"/>
      <c r="BJ89" s="77">
        <v>21</v>
      </c>
      <c r="BU89" s="77" t="e">
        <f>#REF!</f>
        <v>#REF!</v>
      </c>
      <c r="BV89" s="70" t="s">
        <v>270</v>
      </c>
    </row>
    <row r="90" spans="1:74" ht="40.5" customHeight="1" x14ac:dyDescent="0.25">
      <c r="A90" s="104"/>
      <c r="B90" s="81" t="s">
        <v>138</v>
      </c>
      <c r="C90" s="303" t="s">
        <v>762</v>
      </c>
      <c r="D90" s="304"/>
      <c r="E90" s="304"/>
      <c r="F90" s="304"/>
      <c r="G90" s="304"/>
      <c r="H90" s="304"/>
      <c r="I90" s="304"/>
      <c r="J90" s="304"/>
      <c r="K90" s="304"/>
      <c r="L90" s="304"/>
      <c r="M90" s="305"/>
    </row>
    <row r="91" spans="1:74" x14ac:dyDescent="0.25">
      <c r="A91" s="92" t="s">
        <v>308</v>
      </c>
      <c r="B91" s="69" t="s">
        <v>275</v>
      </c>
      <c r="C91" s="306" t="s">
        <v>276</v>
      </c>
      <c r="D91" s="307"/>
      <c r="E91" s="69" t="s">
        <v>145</v>
      </c>
      <c r="F91" s="77">
        <v>10</v>
      </c>
      <c r="G91" s="218">
        <v>0</v>
      </c>
      <c r="H91" s="77">
        <f>F91*AM91</f>
        <v>0</v>
      </c>
      <c r="I91" s="77">
        <f>F91*AN91</f>
        <v>0</v>
      </c>
      <c r="J91" s="77">
        <f>F91*G91</f>
        <v>0</v>
      </c>
      <c r="K91" s="77">
        <v>0.43625000000000003</v>
      </c>
      <c r="L91" s="77">
        <f>F91*K91</f>
        <v>4.3625000000000007</v>
      </c>
      <c r="M91" s="103" t="s">
        <v>35</v>
      </c>
      <c r="X91" s="77">
        <f>IF(AO91="5",BH91,0)</f>
        <v>0</v>
      </c>
      <c r="Z91" s="77">
        <f>IF(AO91="1",BF91,0)</f>
        <v>0</v>
      </c>
      <c r="AA91" s="77">
        <f>IF(AO91="1",BG91,0)</f>
        <v>0</v>
      </c>
      <c r="AB91" s="77">
        <f>IF(AO91="7",BF91,0)</f>
        <v>0</v>
      </c>
      <c r="AC91" s="77">
        <f>IF(AO91="7",BG91,0)</f>
        <v>0</v>
      </c>
      <c r="AD91" s="77">
        <f>IF(AO91="2",BF91,0)</f>
        <v>0</v>
      </c>
      <c r="AE91" s="77">
        <f>IF(AO91="2",BG91,0)</f>
        <v>0</v>
      </c>
      <c r="AF91" s="77">
        <f>IF(AO91="0",BH91,0)</f>
        <v>0</v>
      </c>
      <c r="AG91" s="71" t="s">
        <v>129</v>
      </c>
      <c r="AH91" s="77">
        <f>IF(AL91=0,J91,0)</f>
        <v>0</v>
      </c>
      <c r="AI91" s="77">
        <f>IF(AL91=15,J91,0)</f>
        <v>0</v>
      </c>
      <c r="AJ91" s="77">
        <f>IF(AL91=21,J91,0)</f>
        <v>0</v>
      </c>
      <c r="AL91" s="77">
        <v>21</v>
      </c>
      <c r="AM91" s="77">
        <f>G91*0.436419557</f>
        <v>0</v>
      </c>
      <c r="AN91" s="77">
        <f>G91*(1-0.436419557)</f>
        <v>0</v>
      </c>
      <c r="AO91" s="79" t="s">
        <v>132</v>
      </c>
      <c r="AT91" s="77">
        <f>AU91+AV91</f>
        <v>0</v>
      </c>
      <c r="AU91" s="77">
        <f>F91*AM91</f>
        <v>0</v>
      </c>
      <c r="AV91" s="77">
        <f>F91*AN91</f>
        <v>0</v>
      </c>
      <c r="AW91" s="79" t="s">
        <v>271</v>
      </c>
      <c r="AX91" s="79" t="s">
        <v>272</v>
      </c>
      <c r="AY91" s="71" t="s">
        <v>137</v>
      </c>
      <c r="BA91" s="77">
        <f>AU91+AV91</f>
        <v>0</v>
      </c>
      <c r="BB91" s="77">
        <f>G91/(100-BC91)*100</f>
        <v>0</v>
      </c>
      <c r="BC91" s="77">
        <v>0</v>
      </c>
      <c r="BD91" s="77">
        <f>L91</f>
        <v>4.3625000000000007</v>
      </c>
      <c r="BF91" s="77">
        <f>F91*AM91</f>
        <v>0</v>
      </c>
      <c r="BG91" s="77">
        <f>F91*AN91</f>
        <v>0</v>
      </c>
      <c r="BH91" s="77">
        <f>F91*G91</f>
        <v>0</v>
      </c>
      <c r="BI91" s="77"/>
      <c r="BJ91" s="77">
        <v>21</v>
      </c>
      <c r="BU91" s="77" t="e">
        <f>#REF!</f>
        <v>#REF!</v>
      </c>
      <c r="BV91" s="70" t="s">
        <v>276</v>
      </c>
    </row>
    <row r="92" spans="1:74" ht="27" customHeight="1" x14ac:dyDescent="0.25">
      <c r="A92" s="104"/>
      <c r="B92" s="81" t="s">
        <v>138</v>
      </c>
      <c r="C92" s="303" t="s">
        <v>517</v>
      </c>
      <c r="D92" s="304"/>
      <c r="E92" s="304"/>
      <c r="F92" s="304"/>
      <c r="G92" s="304"/>
      <c r="H92" s="304"/>
      <c r="I92" s="304"/>
      <c r="J92" s="304"/>
      <c r="K92" s="304"/>
      <c r="L92" s="304"/>
      <c r="M92" s="305"/>
    </row>
    <row r="93" spans="1:74" x14ac:dyDescent="0.25">
      <c r="A93" s="105" t="s">
        <v>129</v>
      </c>
      <c r="B93" s="74" t="s">
        <v>337</v>
      </c>
      <c r="C93" s="314" t="s">
        <v>518</v>
      </c>
      <c r="D93" s="315"/>
      <c r="E93" s="75" t="s">
        <v>87</v>
      </c>
      <c r="F93" s="75" t="s">
        <v>87</v>
      </c>
      <c r="G93" s="75" t="s">
        <v>87</v>
      </c>
      <c r="H93" s="67">
        <f>SUM(H94:H96)</f>
        <v>0</v>
      </c>
      <c r="I93" s="67">
        <f>SUM(I94:I96)</f>
        <v>0</v>
      </c>
      <c r="J93" s="67">
        <f>SUM(J94:J96)</f>
        <v>0</v>
      </c>
      <c r="K93" s="71" t="s">
        <v>129</v>
      </c>
      <c r="L93" s="67">
        <f>SUM(L94:L96)</f>
        <v>4.8000000000000001E-2</v>
      </c>
      <c r="M93" s="106" t="s">
        <v>129</v>
      </c>
      <c r="AG93" s="71" t="s">
        <v>129</v>
      </c>
      <c r="AQ93" s="67">
        <f>SUM(AH94:AH96)</f>
        <v>0</v>
      </c>
      <c r="AR93" s="67">
        <f>SUM(AI94:AI96)</f>
        <v>0</v>
      </c>
      <c r="AS93" s="67">
        <f>SUM(AJ94:AJ96)</f>
        <v>0</v>
      </c>
    </row>
    <row r="94" spans="1:74" x14ac:dyDescent="0.25">
      <c r="A94" s="92" t="s">
        <v>310</v>
      </c>
      <c r="B94" s="69" t="s">
        <v>519</v>
      </c>
      <c r="C94" s="306" t="s">
        <v>520</v>
      </c>
      <c r="D94" s="307"/>
      <c r="E94" s="69" t="s">
        <v>325</v>
      </c>
      <c r="F94" s="77">
        <v>13</v>
      </c>
      <c r="G94" s="218">
        <v>0</v>
      </c>
      <c r="H94" s="77">
        <f>F94*AM94</f>
        <v>0</v>
      </c>
      <c r="I94" s="77">
        <f>F94*AN94</f>
        <v>0</v>
      </c>
      <c r="J94" s="77">
        <f>F94*G94</f>
        <v>0</v>
      </c>
      <c r="K94" s="77">
        <v>3.0000000000000001E-3</v>
      </c>
      <c r="L94" s="77">
        <f>F94*K94</f>
        <v>3.9E-2</v>
      </c>
      <c r="M94" s="103" t="s">
        <v>35</v>
      </c>
      <c r="X94" s="77">
        <f>IF(AO94="5",BH94,0)</f>
        <v>0</v>
      </c>
      <c r="Z94" s="77">
        <f>IF(AO94="1",BF94,0)</f>
        <v>0</v>
      </c>
      <c r="AA94" s="77">
        <f>IF(AO94="1",BG94,0)</f>
        <v>0</v>
      </c>
      <c r="AB94" s="77">
        <f>IF(AO94="7",BF94,0)</f>
        <v>0</v>
      </c>
      <c r="AC94" s="77">
        <f>IF(AO94="7",BG94,0)</f>
        <v>0</v>
      </c>
      <c r="AD94" s="77">
        <f>IF(AO94="2",BF94,0)</f>
        <v>0</v>
      </c>
      <c r="AE94" s="77">
        <f>IF(AO94="2",BG94,0)</f>
        <v>0</v>
      </c>
      <c r="AF94" s="77">
        <f>IF(AO94="0",BH94,0)</f>
        <v>0</v>
      </c>
      <c r="AG94" s="71" t="s">
        <v>129</v>
      </c>
      <c r="AH94" s="77">
        <f>IF(AL94=0,J94,0)</f>
        <v>0</v>
      </c>
      <c r="AI94" s="77">
        <f>IF(AL94=15,J94,0)</f>
        <v>0</v>
      </c>
      <c r="AJ94" s="77">
        <f>IF(AL94=21,J94,0)</f>
        <v>0</v>
      </c>
      <c r="AL94" s="77">
        <v>21</v>
      </c>
      <c r="AM94" s="77">
        <f>G94*0.013900929</f>
        <v>0</v>
      </c>
      <c r="AN94" s="77">
        <f>G94*(1-0.013900929)</f>
        <v>0</v>
      </c>
      <c r="AO94" s="79" t="s">
        <v>132</v>
      </c>
      <c r="AT94" s="77">
        <f>AU94+AV94</f>
        <v>0</v>
      </c>
      <c r="AU94" s="77">
        <f>F94*AM94</f>
        <v>0</v>
      </c>
      <c r="AV94" s="77">
        <f>F94*AN94</f>
        <v>0</v>
      </c>
      <c r="AW94" s="79" t="s">
        <v>521</v>
      </c>
      <c r="AX94" s="79" t="s">
        <v>294</v>
      </c>
      <c r="AY94" s="71" t="s">
        <v>137</v>
      </c>
      <c r="BA94" s="77">
        <f>AU94+AV94</f>
        <v>0</v>
      </c>
      <c r="BB94" s="77">
        <f>G94/(100-BC94)*100</f>
        <v>0</v>
      </c>
      <c r="BC94" s="77">
        <v>0</v>
      </c>
      <c r="BD94" s="77">
        <f>L94</f>
        <v>3.9E-2</v>
      </c>
      <c r="BF94" s="77">
        <f>F94*AM94</f>
        <v>0</v>
      </c>
      <c r="BG94" s="77">
        <f>F94*AN94</f>
        <v>0</v>
      </c>
      <c r="BH94" s="77">
        <f>F94*G94</f>
        <v>0</v>
      </c>
      <c r="BI94" s="77"/>
      <c r="BJ94" s="77">
        <v>42</v>
      </c>
      <c r="BU94" s="77" t="e">
        <f>#REF!</f>
        <v>#REF!</v>
      </c>
      <c r="BV94" s="70" t="s">
        <v>520</v>
      </c>
    </row>
    <row r="95" spans="1:74" ht="13.5" customHeight="1" x14ac:dyDescent="0.25">
      <c r="A95" s="104"/>
      <c r="B95" s="81" t="s">
        <v>138</v>
      </c>
      <c r="C95" s="303" t="s">
        <v>522</v>
      </c>
      <c r="D95" s="304"/>
      <c r="E95" s="304"/>
      <c r="F95" s="304"/>
      <c r="G95" s="304"/>
      <c r="H95" s="304"/>
      <c r="I95" s="304"/>
      <c r="J95" s="304"/>
      <c r="K95" s="304"/>
      <c r="L95" s="304"/>
      <c r="M95" s="305"/>
    </row>
    <row r="96" spans="1:74" x14ac:dyDescent="0.25">
      <c r="A96" s="92" t="s">
        <v>316</v>
      </c>
      <c r="B96" s="69" t="s">
        <v>519</v>
      </c>
      <c r="C96" s="306" t="s">
        <v>520</v>
      </c>
      <c r="D96" s="307"/>
      <c r="E96" s="69" t="s">
        <v>325</v>
      </c>
      <c r="F96" s="77">
        <v>3</v>
      </c>
      <c r="G96" s="218">
        <v>0</v>
      </c>
      <c r="H96" s="77">
        <f>F96*AM96</f>
        <v>0</v>
      </c>
      <c r="I96" s="77">
        <f>F96*AN96</f>
        <v>0</v>
      </c>
      <c r="J96" s="77">
        <f>F96*G96</f>
        <v>0</v>
      </c>
      <c r="K96" s="77">
        <v>3.0000000000000001E-3</v>
      </c>
      <c r="L96" s="77">
        <f>F96*K96</f>
        <v>9.0000000000000011E-3</v>
      </c>
      <c r="M96" s="103" t="s">
        <v>35</v>
      </c>
      <c r="X96" s="77">
        <f>IF(AO96="5",BH96,0)</f>
        <v>0</v>
      </c>
      <c r="Z96" s="77">
        <f>IF(AO96="1",BF96,0)</f>
        <v>0</v>
      </c>
      <c r="AA96" s="77">
        <f>IF(AO96="1",BG96,0)</f>
        <v>0</v>
      </c>
      <c r="AB96" s="77">
        <f>IF(AO96="7",BF96,0)</f>
        <v>0</v>
      </c>
      <c r="AC96" s="77">
        <f>IF(AO96="7",BG96,0)</f>
        <v>0</v>
      </c>
      <c r="AD96" s="77">
        <f>IF(AO96="2",BF96,0)</f>
        <v>0</v>
      </c>
      <c r="AE96" s="77">
        <f>IF(AO96="2",BG96,0)</f>
        <v>0</v>
      </c>
      <c r="AF96" s="77">
        <f>IF(AO96="0",BH96,0)</f>
        <v>0</v>
      </c>
      <c r="AG96" s="71" t="s">
        <v>129</v>
      </c>
      <c r="AH96" s="77">
        <f>IF(AL96=0,J96,0)</f>
        <v>0</v>
      </c>
      <c r="AI96" s="77">
        <f>IF(AL96=15,J96,0)</f>
        <v>0</v>
      </c>
      <c r="AJ96" s="77">
        <f>IF(AL96=21,J96,0)</f>
        <v>0</v>
      </c>
      <c r="AL96" s="77">
        <v>21</v>
      </c>
      <c r="AM96" s="77">
        <f>G96*0.013900929</f>
        <v>0</v>
      </c>
      <c r="AN96" s="77">
        <f>G96*(1-0.013900929)</f>
        <v>0</v>
      </c>
      <c r="AO96" s="79" t="s">
        <v>132</v>
      </c>
      <c r="AT96" s="77">
        <f>AU96+AV96</f>
        <v>0</v>
      </c>
      <c r="AU96" s="77">
        <f>F96*AM96</f>
        <v>0</v>
      </c>
      <c r="AV96" s="77">
        <f>F96*AN96</f>
        <v>0</v>
      </c>
      <c r="AW96" s="79" t="s">
        <v>521</v>
      </c>
      <c r="AX96" s="79" t="s">
        <v>294</v>
      </c>
      <c r="AY96" s="71" t="s">
        <v>137</v>
      </c>
      <c r="BA96" s="77">
        <f>AU96+AV96</f>
        <v>0</v>
      </c>
      <c r="BB96" s="77">
        <f>G96/(100-BC96)*100</f>
        <v>0</v>
      </c>
      <c r="BC96" s="77">
        <v>0</v>
      </c>
      <c r="BD96" s="77">
        <f>L96</f>
        <v>9.0000000000000011E-3</v>
      </c>
      <c r="BF96" s="77">
        <f>F96*AM96</f>
        <v>0</v>
      </c>
      <c r="BG96" s="77">
        <f>F96*AN96</f>
        <v>0</v>
      </c>
      <c r="BH96" s="77">
        <f>F96*G96</f>
        <v>0</v>
      </c>
      <c r="BI96" s="77"/>
      <c r="BJ96" s="77">
        <v>42</v>
      </c>
      <c r="BU96" s="77" t="e">
        <f>#REF!</f>
        <v>#REF!</v>
      </c>
      <c r="BV96" s="70" t="s">
        <v>520</v>
      </c>
    </row>
    <row r="97" spans="1:74" ht="13.5" customHeight="1" x14ac:dyDescent="0.25">
      <c r="A97" s="104"/>
      <c r="B97" s="81" t="s">
        <v>138</v>
      </c>
      <c r="C97" s="303" t="s">
        <v>523</v>
      </c>
      <c r="D97" s="304"/>
      <c r="E97" s="304"/>
      <c r="F97" s="304"/>
      <c r="G97" s="304"/>
      <c r="H97" s="304"/>
      <c r="I97" s="304"/>
      <c r="J97" s="304"/>
      <c r="K97" s="304"/>
      <c r="L97" s="304"/>
      <c r="M97" s="305"/>
    </row>
    <row r="98" spans="1:74" x14ac:dyDescent="0.25">
      <c r="A98" s="105" t="s">
        <v>129</v>
      </c>
      <c r="B98" s="74" t="s">
        <v>288</v>
      </c>
      <c r="C98" s="314" t="s">
        <v>289</v>
      </c>
      <c r="D98" s="315"/>
      <c r="E98" s="75" t="s">
        <v>87</v>
      </c>
      <c r="F98" s="75" t="s">
        <v>87</v>
      </c>
      <c r="G98" s="75" t="s">
        <v>87</v>
      </c>
      <c r="H98" s="67">
        <f>SUM(H99:H99)</f>
        <v>0</v>
      </c>
      <c r="I98" s="67">
        <f>SUM(I99:I99)</f>
        <v>0</v>
      </c>
      <c r="J98" s="67">
        <f>SUM(J99:J99)</f>
        <v>0</v>
      </c>
      <c r="K98" s="71" t="s">
        <v>129</v>
      </c>
      <c r="L98" s="67">
        <f>SUM(L99:L99)</f>
        <v>3.6491861000000001</v>
      </c>
      <c r="M98" s="106" t="s">
        <v>129</v>
      </c>
      <c r="AG98" s="71" t="s">
        <v>129</v>
      </c>
      <c r="AQ98" s="67">
        <f>SUM(AH99:AH99)</f>
        <v>0</v>
      </c>
      <c r="AR98" s="67">
        <f>SUM(AI99:AI99)</f>
        <v>0</v>
      </c>
      <c r="AS98" s="67">
        <f>SUM(AJ99:AJ99)</f>
        <v>0</v>
      </c>
    </row>
    <row r="99" spans="1:74" x14ac:dyDescent="0.25">
      <c r="A99" s="92" t="s">
        <v>322</v>
      </c>
      <c r="B99" s="69" t="s">
        <v>291</v>
      </c>
      <c r="C99" s="306" t="s">
        <v>524</v>
      </c>
      <c r="D99" s="307"/>
      <c r="E99" s="69" t="s">
        <v>177</v>
      </c>
      <c r="F99" s="77">
        <v>1.93</v>
      </c>
      <c r="G99" s="218">
        <v>0</v>
      </c>
      <c r="H99" s="77">
        <f>F99*AM99</f>
        <v>0</v>
      </c>
      <c r="I99" s="77">
        <f>F99*AN99</f>
        <v>0</v>
      </c>
      <c r="J99" s="77">
        <f>F99*G99</f>
        <v>0</v>
      </c>
      <c r="K99" s="77">
        <v>1.8907700000000001</v>
      </c>
      <c r="L99" s="77">
        <f>F99*K99</f>
        <v>3.6491861000000001</v>
      </c>
      <c r="M99" s="103" t="s">
        <v>35</v>
      </c>
      <c r="X99" s="77">
        <f>IF(AO99="5",BH99,0)</f>
        <v>0</v>
      </c>
      <c r="Z99" s="77">
        <f>IF(AO99="1",BF99,0)</f>
        <v>0</v>
      </c>
      <c r="AA99" s="77">
        <f>IF(AO99="1",BG99,0)</f>
        <v>0</v>
      </c>
      <c r="AB99" s="77">
        <f>IF(AO99="7",BF99,0)</f>
        <v>0</v>
      </c>
      <c r="AC99" s="77">
        <f>IF(AO99="7",BG99,0)</f>
        <v>0</v>
      </c>
      <c r="AD99" s="77">
        <f>IF(AO99="2",BF99,0)</f>
        <v>0</v>
      </c>
      <c r="AE99" s="77">
        <f>IF(AO99="2",BG99,0)</f>
        <v>0</v>
      </c>
      <c r="AF99" s="77">
        <f>IF(AO99="0",BH99,0)</f>
        <v>0</v>
      </c>
      <c r="AG99" s="71" t="s">
        <v>129</v>
      </c>
      <c r="AH99" s="77">
        <f>IF(AL99=0,J99,0)</f>
        <v>0</v>
      </c>
      <c r="AI99" s="77">
        <f>IF(AL99=15,J99,0)</f>
        <v>0</v>
      </c>
      <c r="AJ99" s="77">
        <f>IF(AL99=21,J99,0)</f>
        <v>0</v>
      </c>
      <c r="AL99" s="77">
        <v>21</v>
      </c>
      <c r="AM99" s="77">
        <f>G99*0.487587983</f>
        <v>0</v>
      </c>
      <c r="AN99" s="77">
        <f>G99*(1-0.487587983)</f>
        <v>0</v>
      </c>
      <c r="AO99" s="79" t="s">
        <v>132</v>
      </c>
      <c r="AT99" s="77">
        <f>AU99+AV99</f>
        <v>0</v>
      </c>
      <c r="AU99" s="77">
        <f>F99*AM99</f>
        <v>0</v>
      </c>
      <c r="AV99" s="77">
        <f>F99*AN99</f>
        <v>0</v>
      </c>
      <c r="AW99" s="79" t="s">
        <v>293</v>
      </c>
      <c r="AX99" s="79" t="s">
        <v>294</v>
      </c>
      <c r="AY99" s="71" t="s">
        <v>137</v>
      </c>
      <c r="BA99" s="77">
        <f>AU99+AV99</f>
        <v>0</v>
      </c>
      <c r="BB99" s="77">
        <f>G99/(100-BC99)*100</f>
        <v>0</v>
      </c>
      <c r="BC99" s="77">
        <v>0</v>
      </c>
      <c r="BD99" s="77">
        <f>L99</f>
        <v>3.6491861000000001</v>
      </c>
      <c r="BF99" s="77">
        <f>F99*AM99</f>
        <v>0</v>
      </c>
      <c r="BG99" s="77">
        <f>F99*AN99</f>
        <v>0</v>
      </c>
      <c r="BH99" s="77">
        <f>F99*G99</f>
        <v>0</v>
      </c>
      <c r="BI99" s="77"/>
      <c r="BJ99" s="77">
        <v>45</v>
      </c>
      <c r="BU99" s="77" t="e">
        <f>#REF!</f>
        <v>#REF!</v>
      </c>
      <c r="BV99" s="70" t="s">
        <v>524</v>
      </c>
    </row>
    <row r="100" spans="1:74" ht="54" customHeight="1" x14ac:dyDescent="0.25">
      <c r="A100" s="104"/>
      <c r="B100" s="81" t="s">
        <v>138</v>
      </c>
      <c r="C100" s="303" t="s">
        <v>763</v>
      </c>
      <c r="D100" s="304"/>
      <c r="E100" s="304"/>
      <c r="F100" s="304"/>
      <c r="G100" s="304"/>
      <c r="H100" s="304"/>
      <c r="I100" s="304"/>
      <c r="J100" s="304"/>
      <c r="K100" s="304"/>
      <c r="L100" s="304"/>
      <c r="M100" s="305"/>
    </row>
    <row r="101" spans="1:74" x14ac:dyDescent="0.25">
      <c r="A101" s="105" t="s">
        <v>129</v>
      </c>
      <c r="B101" s="74" t="s">
        <v>296</v>
      </c>
      <c r="C101" s="314" t="s">
        <v>297</v>
      </c>
      <c r="D101" s="315"/>
      <c r="E101" s="75" t="s">
        <v>87</v>
      </c>
      <c r="F101" s="75" t="s">
        <v>87</v>
      </c>
      <c r="G101" s="75" t="s">
        <v>87</v>
      </c>
      <c r="H101" s="67">
        <f>SUM(H102:H118)</f>
        <v>0</v>
      </c>
      <c r="I101" s="67">
        <f>SUM(I102:I118)</f>
        <v>0</v>
      </c>
      <c r="J101" s="67">
        <f>SUM(J102:J118)</f>
        <v>0</v>
      </c>
      <c r="K101" s="71" t="s">
        <v>129</v>
      </c>
      <c r="L101" s="67">
        <f>SUM(L102:L118)</f>
        <v>37.592214200000008</v>
      </c>
      <c r="M101" s="106" t="s">
        <v>129</v>
      </c>
      <c r="AG101" s="71" t="s">
        <v>129</v>
      </c>
      <c r="AQ101" s="67">
        <f>SUM(AH102:AH118)</f>
        <v>0</v>
      </c>
      <c r="AR101" s="67">
        <f>SUM(AI102:AI118)</f>
        <v>0</v>
      </c>
      <c r="AS101" s="67">
        <f>SUM(AJ102:AJ118)</f>
        <v>0</v>
      </c>
    </row>
    <row r="102" spans="1:74" x14ac:dyDescent="0.25">
      <c r="A102" s="92" t="s">
        <v>327</v>
      </c>
      <c r="B102" s="69" t="s">
        <v>299</v>
      </c>
      <c r="C102" s="306" t="s">
        <v>300</v>
      </c>
      <c r="D102" s="307"/>
      <c r="E102" s="69" t="s">
        <v>166</v>
      </c>
      <c r="F102" s="77">
        <v>4.3600000000000003</v>
      </c>
      <c r="G102" s="218">
        <v>0</v>
      </c>
      <c r="H102" s="77">
        <f>F102*AM102</f>
        <v>0</v>
      </c>
      <c r="I102" s="77">
        <f>F102*AN102</f>
        <v>0</v>
      </c>
      <c r="J102" s="77">
        <f>F102*G102</f>
        <v>0</v>
      </c>
      <c r="K102" s="77">
        <v>0.46</v>
      </c>
      <c r="L102" s="77">
        <f>F102*K102</f>
        <v>2.0056000000000003</v>
      </c>
      <c r="M102" s="103" t="s">
        <v>35</v>
      </c>
      <c r="X102" s="77">
        <f>IF(AO102="5",BH102,0)</f>
        <v>0</v>
      </c>
      <c r="Z102" s="77">
        <f>IF(AO102="1",BF102,0)</f>
        <v>0</v>
      </c>
      <c r="AA102" s="77">
        <f>IF(AO102="1",BG102,0)</f>
        <v>0</v>
      </c>
      <c r="AB102" s="77">
        <f>IF(AO102="7",BF102,0)</f>
        <v>0</v>
      </c>
      <c r="AC102" s="77">
        <f>IF(AO102="7",BG102,0)</f>
        <v>0</v>
      </c>
      <c r="AD102" s="77">
        <f>IF(AO102="2",BF102,0)</f>
        <v>0</v>
      </c>
      <c r="AE102" s="77">
        <f>IF(AO102="2",BG102,0)</f>
        <v>0</v>
      </c>
      <c r="AF102" s="77">
        <f>IF(AO102="0",BH102,0)</f>
        <v>0</v>
      </c>
      <c r="AG102" s="71" t="s">
        <v>129</v>
      </c>
      <c r="AH102" s="77">
        <f>IF(AL102=0,J102,0)</f>
        <v>0</v>
      </c>
      <c r="AI102" s="77">
        <f>IF(AL102=15,J102,0)</f>
        <v>0</v>
      </c>
      <c r="AJ102" s="77">
        <f>IF(AL102=21,J102,0)</f>
        <v>0</v>
      </c>
      <c r="AL102" s="77">
        <v>21</v>
      </c>
      <c r="AM102" s="77">
        <f>G102*0.854845361</f>
        <v>0</v>
      </c>
      <c r="AN102" s="77">
        <f>G102*(1-0.854845361)</f>
        <v>0</v>
      </c>
      <c r="AO102" s="79" t="s">
        <v>132</v>
      </c>
      <c r="AT102" s="77">
        <f>AU102+AV102</f>
        <v>0</v>
      </c>
      <c r="AU102" s="77">
        <f>F102*AM102</f>
        <v>0</v>
      </c>
      <c r="AV102" s="77">
        <f>F102*AN102</f>
        <v>0</v>
      </c>
      <c r="AW102" s="79" t="s">
        <v>301</v>
      </c>
      <c r="AX102" s="79" t="s">
        <v>302</v>
      </c>
      <c r="AY102" s="71" t="s">
        <v>137</v>
      </c>
      <c r="BA102" s="77">
        <f>AU102+AV102</f>
        <v>0</v>
      </c>
      <c r="BB102" s="77">
        <f>G102/(100-BC102)*100</f>
        <v>0</v>
      </c>
      <c r="BC102" s="77">
        <v>0</v>
      </c>
      <c r="BD102" s="77">
        <f>L102</f>
        <v>2.0056000000000003</v>
      </c>
      <c r="BF102" s="77">
        <f>F102*AM102</f>
        <v>0</v>
      </c>
      <c r="BG102" s="77">
        <f>F102*AN102</f>
        <v>0</v>
      </c>
      <c r="BH102" s="77">
        <f>F102*G102</f>
        <v>0</v>
      </c>
      <c r="BI102" s="77"/>
      <c r="BJ102" s="77">
        <v>56</v>
      </c>
      <c r="BU102" s="77" t="e">
        <f>#REF!</f>
        <v>#REF!</v>
      </c>
      <c r="BV102" s="70" t="s">
        <v>300</v>
      </c>
    </row>
    <row r="103" spans="1:74" ht="40.5" customHeight="1" x14ac:dyDescent="0.25">
      <c r="A103" s="104"/>
      <c r="B103" s="81" t="s">
        <v>138</v>
      </c>
      <c r="C103" s="303" t="s">
        <v>764</v>
      </c>
      <c r="D103" s="304"/>
      <c r="E103" s="304"/>
      <c r="F103" s="304"/>
      <c r="G103" s="304"/>
      <c r="H103" s="304"/>
      <c r="I103" s="304"/>
      <c r="J103" s="304"/>
      <c r="K103" s="304"/>
      <c r="L103" s="304"/>
      <c r="M103" s="305"/>
    </row>
    <row r="104" spans="1:74" x14ac:dyDescent="0.25">
      <c r="A104" s="92" t="s">
        <v>331</v>
      </c>
      <c r="B104" s="69" t="s">
        <v>299</v>
      </c>
      <c r="C104" s="306" t="s">
        <v>300</v>
      </c>
      <c r="D104" s="307"/>
      <c r="E104" s="69" t="s">
        <v>166</v>
      </c>
      <c r="F104" s="77">
        <v>4.53</v>
      </c>
      <c r="G104" s="218">
        <v>0</v>
      </c>
      <c r="H104" s="77">
        <f>F104*AM104</f>
        <v>0</v>
      </c>
      <c r="I104" s="77">
        <f>F104*AN104</f>
        <v>0</v>
      </c>
      <c r="J104" s="77">
        <f>F104*G104</f>
        <v>0</v>
      </c>
      <c r="K104" s="77">
        <v>0.46</v>
      </c>
      <c r="L104" s="77">
        <f>F104*K104</f>
        <v>2.0838000000000001</v>
      </c>
      <c r="M104" s="103" t="s">
        <v>35</v>
      </c>
      <c r="X104" s="77">
        <f>IF(AO104="5",BH104,0)</f>
        <v>0</v>
      </c>
      <c r="Z104" s="77">
        <f>IF(AO104="1",BF104,0)</f>
        <v>0</v>
      </c>
      <c r="AA104" s="77">
        <f>IF(AO104="1",BG104,0)</f>
        <v>0</v>
      </c>
      <c r="AB104" s="77">
        <f>IF(AO104="7",BF104,0)</f>
        <v>0</v>
      </c>
      <c r="AC104" s="77">
        <f>IF(AO104="7",BG104,0)</f>
        <v>0</v>
      </c>
      <c r="AD104" s="77">
        <f>IF(AO104="2",BF104,0)</f>
        <v>0</v>
      </c>
      <c r="AE104" s="77">
        <f>IF(AO104="2",BG104,0)</f>
        <v>0</v>
      </c>
      <c r="AF104" s="77">
        <f>IF(AO104="0",BH104,0)</f>
        <v>0</v>
      </c>
      <c r="AG104" s="71" t="s">
        <v>129</v>
      </c>
      <c r="AH104" s="77">
        <f>IF(AL104=0,J104,0)</f>
        <v>0</v>
      </c>
      <c r="AI104" s="77">
        <f>IF(AL104=15,J104,0)</f>
        <v>0</v>
      </c>
      <c r="AJ104" s="77">
        <f>IF(AL104=21,J104,0)</f>
        <v>0</v>
      </c>
      <c r="AL104" s="77">
        <v>21</v>
      </c>
      <c r="AM104" s="77">
        <f>G104*0.85484147</f>
        <v>0</v>
      </c>
      <c r="AN104" s="77">
        <f>G104*(1-0.85484147)</f>
        <v>0</v>
      </c>
      <c r="AO104" s="79" t="s">
        <v>132</v>
      </c>
      <c r="AT104" s="77">
        <f>AU104+AV104</f>
        <v>0</v>
      </c>
      <c r="AU104" s="77">
        <f>F104*AM104</f>
        <v>0</v>
      </c>
      <c r="AV104" s="77">
        <f>F104*AN104</f>
        <v>0</v>
      </c>
      <c r="AW104" s="79" t="s">
        <v>301</v>
      </c>
      <c r="AX104" s="79" t="s">
        <v>302</v>
      </c>
      <c r="AY104" s="71" t="s">
        <v>137</v>
      </c>
      <c r="BA104" s="77">
        <f>AU104+AV104</f>
        <v>0</v>
      </c>
      <c r="BB104" s="77">
        <f>G104/(100-BC104)*100</f>
        <v>0</v>
      </c>
      <c r="BC104" s="77">
        <v>0</v>
      </c>
      <c r="BD104" s="77">
        <f>L104</f>
        <v>2.0838000000000001</v>
      </c>
      <c r="BF104" s="77">
        <f>F104*AM104</f>
        <v>0</v>
      </c>
      <c r="BG104" s="77">
        <f>F104*AN104</f>
        <v>0</v>
      </c>
      <c r="BH104" s="77">
        <f>F104*G104</f>
        <v>0</v>
      </c>
      <c r="BI104" s="77"/>
      <c r="BJ104" s="77">
        <v>56</v>
      </c>
      <c r="BU104" s="77" t="e">
        <f>#REF!</f>
        <v>#REF!</v>
      </c>
      <c r="BV104" s="70" t="s">
        <v>300</v>
      </c>
    </row>
    <row r="105" spans="1:74" ht="40.5" customHeight="1" x14ac:dyDescent="0.25">
      <c r="A105" s="104"/>
      <c r="B105" s="81" t="s">
        <v>138</v>
      </c>
      <c r="C105" s="303" t="s">
        <v>765</v>
      </c>
      <c r="D105" s="304"/>
      <c r="E105" s="304"/>
      <c r="F105" s="304"/>
      <c r="G105" s="304"/>
      <c r="H105" s="304"/>
      <c r="I105" s="304"/>
      <c r="J105" s="304"/>
      <c r="K105" s="304"/>
      <c r="L105" s="304"/>
      <c r="M105" s="305"/>
    </row>
    <row r="106" spans="1:74" x14ac:dyDescent="0.25">
      <c r="A106" s="92" t="s">
        <v>337</v>
      </c>
      <c r="B106" s="69" t="s">
        <v>305</v>
      </c>
      <c r="C106" s="306" t="s">
        <v>306</v>
      </c>
      <c r="D106" s="307"/>
      <c r="E106" s="69" t="s">
        <v>166</v>
      </c>
      <c r="F106" s="77">
        <v>4.75</v>
      </c>
      <c r="G106" s="218">
        <v>0</v>
      </c>
      <c r="H106" s="77">
        <f>F106*AM106</f>
        <v>0</v>
      </c>
      <c r="I106" s="77">
        <f>F106*AN106</f>
        <v>0</v>
      </c>
      <c r="J106" s="77">
        <f>F106*G106</f>
        <v>0</v>
      </c>
      <c r="K106" s="77">
        <v>0.48574000000000001</v>
      </c>
      <c r="L106" s="77">
        <f>F106*K106</f>
        <v>2.3072650000000001</v>
      </c>
      <c r="M106" s="103" t="s">
        <v>35</v>
      </c>
      <c r="X106" s="77">
        <f>IF(AO106="5",BH106,0)</f>
        <v>0</v>
      </c>
      <c r="Z106" s="77">
        <f>IF(AO106="1",BF106,0)</f>
        <v>0</v>
      </c>
      <c r="AA106" s="77">
        <f>IF(AO106="1",BG106,0)</f>
        <v>0</v>
      </c>
      <c r="AB106" s="77">
        <f>IF(AO106="7",BF106,0)</f>
        <v>0</v>
      </c>
      <c r="AC106" s="77">
        <f>IF(AO106="7",BG106,0)</f>
        <v>0</v>
      </c>
      <c r="AD106" s="77">
        <f>IF(AO106="2",BF106,0)</f>
        <v>0</v>
      </c>
      <c r="AE106" s="77">
        <f>IF(AO106="2",BG106,0)</f>
        <v>0</v>
      </c>
      <c r="AF106" s="77">
        <f>IF(AO106="0",BH106,0)</f>
        <v>0</v>
      </c>
      <c r="AG106" s="71" t="s">
        <v>129</v>
      </c>
      <c r="AH106" s="77">
        <f>IF(AL106=0,J106,0)</f>
        <v>0</v>
      </c>
      <c r="AI106" s="77">
        <f>IF(AL106=15,J106,0)</f>
        <v>0</v>
      </c>
      <c r="AJ106" s="77">
        <f>IF(AL106=21,J106,0)</f>
        <v>0</v>
      </c>
      <c r="AL106" s="77">
        <v>21</v>
      </c>
      <c r="AM106" s="77">
        <f>G106*0.813417674</f>
        <v>0</v>
      </c>
      <c r="AN106" s="77">
        <f>G106*(1-0.813417674)</f>
        <v>0</v>
      </c>
      <c r="AO106" s="79" t="s">
        <v>132</v>
      </c>
      <c r="AT106" s="77">
        <f>AU106+AV106</f>
        <v>0</v>
      </c>
      <c r="AU106" s="77">
        <f>F106*AM106</f>
        <v>0</v>
      </c>
      <c r="AV106" s="77">
        <f>F106*AN106</f>
        <v>0</v>
      </c>
      <c r="AW106" s="79" t="s">
        <v>301</v>
      </c>
      <c r="AX106" s="79" t="s">
        <v>302</v>
      </c>
      <c r="AY106" s="71" t="s">
        <v>137</v>
      </c>
      <c r="BA106" s="77">
        <f>AU106+AV106</f>
        <v>0</v>
      </c>
      <c r="BB106" s="77">
        <f>G106/(100-BC106)*100</f>
        <v>0</v>
      </c>
      <c r="BC106" s="77">
        <v>0</v>
      </c>
      <c r="BD106" s="77">
        <f>L106</f>
        <v>2.3072650000000001</v>
      </c>
      <c r="BF106" s="77">
        <f>F106*AM106</f>
        <v>0</v>
      </c>
      <c r="BG106" s="77">
        <f>F106*AN106</f>
        <v>0</v>
      </c>
      <c r="BH106" s="77">
        <f>F106*G106</f>
        <v>0</v>
      </c>
      <c r="BI106" s="77"/>
      <c r="BJ106" s="77">
        <v>56</v>
      </c>
      <c r="BU106" s="77" t="e">
        <f>#REF!</f>
        <v>#REF!</v>
      </c>
      <c r="BV106" s="70" t="s">
        <v>306</v>
      </c>
    </row>
    <row r="107" spans="1:74" ht="40.5" customHeight="1" x14ac:dyDescent="0.25">
      <c r="A107" s="104"/>
      <c r="B107" s="81" t="s">
        <v>138</v>
      </c>
      <c r="C107" s="303" t="s">
        <v>766</v>
      </c>
      <c r="D107" s="304"/>
      <c r="E107" s="304"/>
      <c r="F107" s="304"/>
      <c r="G107" s="304"/>
      <c r="H107" s="304"/>
      <c r="I107" s="304"/>
      <c r="J107" s="304"/>
      <c r="K107" s="304"/>
      <c r="L107" s="304"/>
      <c r="M107" s="305"/>
    </row>
    <row r="108" spans="1:74" x14ac:dyDescent="0.25">
      <c r="A108" s="92" t="s">
        <v>342</v>
      </c>
      <c r="B108" s="69" t="s">
        <v>528</v>
      </c>
      <c r="C108" s="306" t="s">
        <v>529</v>
      </c>
      <c r="D108" s="307"/>
      <c r="E108" s="69" t="s">
        <v>166</v>
      </c>
      <c r="F108" s="77">
        <v>4.7300000000000004</v>
      </c>
      <c r="G108" s="218">
        <v>0</v>
      </c>
      <c r="H108" s="77">
        <f>F108*AM108</f>
        <v>0</v>
      </c>
      <c r="I108" s="77">
        <f>F108*AN108</f>
        <v>0</v>
      </c>
      <c r="J108" s="77">
        <f>F108*G108</f>
        <v>0</v>
      </c>
      <c r="K108" s="77">
        <v>0.52900000000000003</v>
      </c>
      <c r="L108" s="77">
        <f>F108*K108</f>
        <v>2.5021700000000004</v>
      </c>
      <c r="M108" s="103" t="s">
        <v>35</v>
      </c>
      <c r="X108" s="77">
        <f>IF(AO108="5",BH108,0)</f>
        <v>0</v>
      </c>
      <c r="Z108" s="77">
        <f>IF(AO108="1",BF108,0)</f>
        <v>0</v>
      </c>
      <c r="AA108" s="77">
        <f>IF(AO108="1",BG108,0)</f>
        <v>0</v>
      </c>
      <c r="AB108" s="77">
        <f>IF(AO108="7",BF108,0)</f>
        <v>0</v>
      </c>
      <c r="AC108" s="77">
        <f>IF(AO108="7",BG108,0)</f>
        <v>0</v>
      </c>
      <c r="AD108" s="77">
        <f>IF(AO108="2",BF108,0)</f>
        <v>0</v>
      </c>
      <c r="AE108" s="77">
        <f>IF(AO108="2",BG108,0)</f>
        <v>0</v>
      </c>
      <c r="AF108" s="77">
        <f>IF(AO108="0",BH108,0)</f>
        <v>0</v>
      </c>
      <c r="AG108" s="71" t="s">
        <v>129</v>
      </c>
      <c r="AH108" s="77">
        <f>IF(AL108=0,J108,0)</f>
        <v>0</v>
      </c>
      <c r="AI108" s="77">
        <f>IF(AL108=15,J108,0)</f>
        <v>0</v>
      </c>
      <c r="AJ108" s="77">
        <f>IF(AL108=21,J108,0)</f>
        <v>0</v>
      </c>
      <c r="AL108" s="77">
        <v>21</v>
      </c>
      <c r="AM108" s="77">
        <f>G108*0.8532403</f>
        <v>0</v>
      </c>
      <c r="AN108" s="77">
        <f>G108*(1-0.8532403)</f>
        <v>0</v>
      </c>
      <c r="AO108" s="79" t="s">
        <v>132</v>
      </c>
      <c r="AT108" s="77">
        <f>AU108+AV108</f>
        <v>0</v>
      </c>
      <c r="AU108" s="77">
        <f>F108*AM108</f>
        <v>0</v>
      </c>
      <c r="AV108" s="77">
        <f>F108*AN108</f>
        <v>0</v>
      </c>
      <c r="AW108" s="79" t="s">
        <v>301</v>
      </c>
      <c r="AX108" s="79" t="s">
        <v>302</v>
      </c>
      <c r="AY108" s="71" t="s">
        <v>137</v>
      </c>
      <c r="BA108" s="77">
        <f>AU108+AV108</f>
        <v>0</v>
      </c>
      <c r="BB108" s="77">
        <f>G108/(100-BC108)*100</f>
        <v>0</v>
      </c>
      <c r="BC108" s="77">
        <v>0</v>
      </c>
      <c r="BD108" s="77">
        <f>L108</f>
        <v>2.5021700000000004</v>
      </c>
      <c r="BF108" s="77">
        <f>F108*AM108</f>
        <v>0</v>
      </c>
      <c r="BG108" s="77">
        <f>F108*AN108</f>
        <v>0</v>
      </c>
      <c r="BH108" s="77">
        <f>F108*G108</f>
        <v>0</v>
      </c>
      <c r="BI108" s="77"/>
      <c r="BJ108" s="77">
        <v>56</v>
      </c>
      <c r="BU108" s="77" t="e">
        <f>#REF!</f>
        <v>#REF!</v>
      </c>
      <c r="BV108" s="70" t="s">
        <v>529</v>
      </c>
    </row>
    <row r="109" spans="1:74" ht="40.5" customHeight="1" x14ac:dyDescent="0.25">
      <c r="A109" s="104"/>
      <c r="B109" s="81" t="s">
        <v>138</v>
      </c>
      <c r="C109" s="303" t="s">
        <v>767</v>
      </c>
      <c r="D109" s="304"/>
      <c r="E109" s="304"/>
      <c r="F109" s="304"/>
      <c r="G109" s="304"/>
      <c r="H109" s="304"/>
      <c r="I109" s="304"/>
      <c r="J109" s="304"/>
      <c r="K109" s="304"/>
      <c r="L109" s="304"/>
      <c r="M109" s="305"/>
    </row>
    <row r="110" spans="1:74" x14ac:dyDescent="0.25">
      <c r="A110" s="92" t="s">
        <v>346</v>
      </c>
      <c r="B110" s="69" t="s">
        <v>768</v>
      </c>
      <c r="C110" s="306" t="s">
        <v>769</v>
      </c>
      <c r="D110" s="307"/>
      <c r="E110" s="69" t="s">
        <v>166</v>
      </c>
      <c r="F110" s="77">
        <v>9.99</v>
      </c>
      <c r="G110" s="218">
        <v>0</v>
      </c>
      <c r="H110" s="77">
        <f>F110*AM110</f>
        <v>0</v>
      </c>
      <c r="I110" s="77">
        <f>F110*AN110</f>
        <v>0</v>
      </c>
      <c r="J110" s="77">
        <f>F110*G110</f>
        <v>0</v>
      </c>
      <c r="K110" s="77">
        <v>0.60104000000000002</v>
      </c>
      <c r="L110" s="77">
        <f>F110*K110</f>
        <v>6.0043896000000005</v>
      </c>
      <c r="M110" s="103" t="s">
        <v>35</v>
      </c>
      <c r="X110" s="77">
        <f>IF(AO110="5",BH110,0)</f>
        <v>0</v>
      </c>
      <c r="Z110" s="77">
        <f>IF(AO110="1",BF110,0)</f>
        <v>0</v>
      </c>
      <c r="AA110" s="77">
        <f>IF(AO110="1",BG110,0)</f>
        <v>0</v>
      </c>
      <c r="AB110" s="77">
        <f>IF(AO110="7",BF110,0)</f>
        <v>0</v>
      </c>
      <c r="AC110" s="77">
        <f>IF(AO110="7",BG110,0)</f>
        <v>0</v>
      </c>
      <c r="AD110" s="77">
        <f>IF(AO110="2",BF110,0)</f>
        <v>0</v>
      </c>
      <c r="AE110" s="77">
        <f>IF(AO110="2",BG110,0)</f>
        <v>0</v>
      </c>
      <c r="AF110" s="77">
        <f>IF(AO110="0",BH110,0)</f>
        <v>0</v>
      </c>
      <c r="AG110" s="71" t="s">
        <v>129</v>
      </c>
      <c r="AH110" s="77">
        <f>IF(AL110=0,J110,0)</f>
        <v>0</v>
      </c>
      <c r="AI110" s="77">
        <f>IF(AL110=15,J110,0)</f>
        <v>0</v>
      </c>
      <c r="AJ110" s="77">
        <f>IF(AL110=21,J110,0)</f>
        <v>0</v>
      </c>
      <c r="AL110" s="77">
        <v>21</v>
      </c>
      <c r="AM110" s="77">
        <f>G110*0.833065327</f>
        <v>0</v>
      </c>
      <c r="AN110" s="77">
        <f>G110*(1-0.833065327)</f>
        <v>0</v>
      </c>
      <c r="AO110" s="79" t="s">
        <v>132</v>
      </c>
      <c r="AT110" s="77">
        <f>AU110+AV110</f>
        <v>0</v>
      </c>
      <c r="AU110" s="77">
        <f>F110*AM110</f>
        <v>0</v>
      </c>
      <c r="AV110" s="77">
        <f>F110*AN110</f>
        <v>0</v>
      </c>
      <c r="AW110" s="79" t="s">
        <v>301</v>
      </c>
      <c r="AX110" s="79" t="s">
        <v>302</v>
      </c>
      <c r="AY110" s="71" t="s">
        <v>137</v>
      </c>
      <c r="BA110" s="77">
        <f>AU110+AV110</f>
        <v>0</v>
      </c>
      <c r="BB110" s="77">
        <f>G110/(100-BC110)*100</f>
        <v>0</v>
      </c>
      <c r="BC110" s="77">
        <v>0</v>
      </c>
      <c r="BD110" s="77">
        <f>L110</f>
        <v>6.0043896000000005</v>
      </c>
      <c r="BF110" s="77">
        <f>F110*AM110</f>
        <v>0</v>
      </c>
      <c r="BG110" s="77">
        <f>F110*AN110</f>
        <v>0</v>
      </c>
      <c r="BH110" s="77">
        <f>F110*G110</f>
        <v>0</v>
      </c>
      <c r="BI110" s="77"/>
      <c r="BJ110" s="77">
        <v>56</v>
      </c>
      <c r="BU110" s="77" t="e">
        <f>#REF!</f>
        <v>#REF!</v>
      </c>
      <c r="BV110" s="70" t="s">
        <v>769</v>
      </c>
    </row>
    <row r="111" spans="1:74" ht="40.5" customHeight="1" x14ac:dyDescent="0.25">
      <c r="A111" s="104"/>
      <c r="B111" s="81" t="s">
        <v>138</v>
      </c>
      <c r="C111" s="303" t="s">
        <v>770</v>
      </c>
      <c r="D111" s="304"/>
      <c r="E111" s="304"/>
      <c r="F111" s="304"/>
      <c r="G111" s="304"/>
      <c r="H111" s="304"/>
      <c r="I111" s="304"/>
      <c r="J111" s="304"/>
      <c r="K111" s="304"/>
      <c r="L111" s="304"/>
      <c r="M111" s="305"/>
    </row>
    <row r="112" spans="1:74" x14ac:dyDescent="0.25">
      <c r="A112" s="92" t="s">
        <v>288</v>
      </c>
      <c r="B112" s="69" t="s">
        <v>305</v>
      </c>
      <c r="C112" s="306" t="s">
        <v>771</v>
      </c>
      <c r="D112" s="307"/>
      <c r="E112" s="69" t="s">
        <v>166</v>
      </c>
      <c r="F112" s="77">
        <v>11.38</v>
      </c>
      <c r="G112" s="218">
        <v>0</v>
      </c>
      <c r="H112" s="77">
        <f>F112*AM112</f>
        <v>0</v>
      </c>
      <c r="I112" s="77">
        <f>F112*AN112</f>
        <v>0</v>
      </c>
      <c r="J112" s="77">
        <f>F112*G112</f>
        <v>0</v>
      </c>
      <c r="K112" s="77">
        <v>0.48574000000000001</v>
      </c>
      <c r="L112" s="77">
        <f>F112*K112</f>
        <v>5.5277212000000002</v>
      </c>
      <c r="M112" s="103" t="s">
        <v>35</v>
      </c>
      <c r="X112" s="77">
        <f>IF(AO112="5",BH112,0)</f>
        <v>0</v>
      </c>
      <c r="Z112" s="77">
        <f>IF(AO112="1",BF112,0)</f>
        <v>0</v>
      </c>
      <c r="AA112" s="77">
        <f>IF(AO112="1",BG112,0)</f>
        <v>0</v>
      </c>
      <c r="AB112" s="77">
        <f>IF(AO112="7",BF112,0)</f>
        <v>0</v>
      </c>
      <c r="AC112" s="77">
        <f>IF(AO112="7",BG112,0)</f>
        <v>0</v>
      </c>
      <c r="AD112" s="77">
        <f>IF(AO112="2",BF112,0)</f>
        <v>0</v>
      </c>
      <c r="AE112" s="77">
        <f>IF(AO112="2",BG112,0)</f>
        <v>0</v>
      </c>
      <c r="AF112" s="77">
        <f>IF(AO112="0",BH112,0)</f>
        <v>0</v>
      </c>
      <c r="AG112" s="71" t="s">
        <v>129</v>
      </c>
      <c r="AH112" s="77">
        <f>IF(AL112=0,J112,0)</f>
        <v>0</v>
      </c>
      <c r="AI112" s="77">
        <f>IF(AL112=15,J112,0)</f>
        <v>0</v>
      </c>
      <c r="AJ112" s="77">
        <f>IF(AL112=21,J112,0)</f>
        <v>0</v>
      </c>
      <c r="AL112" s="77">
        <v>21</v>
      </c>
      <c r="AM112" s="77">
        <f>G112*0.813418151</f>
        <v>0</v>
      </c>
      <c r="AN112" s="77">
        <f>G112*(1-0.813418151)</f>
        <v>0</v>
      </c>
      <c r="AO112" s="79" t="s">
        <v>132</v>
      </c>
      <c r="AT112" s="77">
        <f>AU112+AV112</f>
        <v>0</v>
      </c>
      <c r="AU112" s="77">
        <f>F112*AM112</f>
        <v>0</v>
      </c>
      <c r="AV112" s="77">
        <f>F112*AN112</f>
        <v>0</v>
      </c>
      <c r="AW112" s="79" t="s">
        <v>301</v>
      </c>
      <c r="AX112" s="79" t="s">
        <v>302</v>
      </c>
      <c r="AY112" s="71" t="s">
        <v>137</v>
      </c>
      <c r="BA112" s="77">
        <f>AU112+AV112</f>
        <v>0</v>
      </c>
      <c r="BB112" s="77">
        <f>G112/(100-BC112)*100</f>
        <v>0</v>
      </c>
      <c r="BC112" s="77">
        <v>0</v>
      </c>
      <c r="BD112" s="77">
        <f>L112</f>
        <v>5.5277212000000002</v>
      </c>
      <c r="BF112" s="77">
        <f>F112*AM112</f>
        <v>0</v>
      </c>
      <c r="BG112" s="77">
        <f>F112*AN112</f>
        <v>0</v>
      </c>
      <c r="BH112" s="77">
        <f>F112*G112</f>
        <v>0</v>
      </c>
      <c r="BI112" s="77"/>
      <c r="BJ112" s="77">
        <v>56</v>
      </c>
      <c r="BU112" s="77" t="e">
        <f>#REF!</f>
        <v>#REF!</v>
      </c>
      <c r="BV112" s="70" t="s">
        <v>771</v>
      </c>
    </row>
    <row r="113" spans="1:74" ht="40.5" customHeight="1" x14ac:dyDescent="0.25">
      <c r="A113" s="104"/>
      <c r="B113" s="81" t="s">
        <v>138</v>
      </c>
      <c r="C113" s="303" t="s">
        <v>772</v>
      </c>
      <c r="D113" s="304"/>
      <c r="E113" s="304"/>
      <c r="F113" s="304"/>
      <c r="G113" s="304"/>
      <c r="H113" s="304"/>
      <c r="I113" s="304"/>
      <c r="J113" s="304"/>
      <c r="K113" s="304"/>
      <c r="L113" s="304"/>
      <c r="M113" s="305"/>
    </row>
    <row r="114" spans="1:74" x14ac:dyDescent="0.25">
      <c r="A114" s="92" t="s">
        <v>353</v>
      </c>
      <c r="B114" s="69" t="s">
        <v>305</v>
      </c>
      <c r="C114" s="306" t="s">
        <v>771</v>
      </c>
      <c r="D114" s="307"/>
      <c r="E114" s="69" t="s">
        <v>166</v>
      </c>
      <c r="F114" s="77">
        <v>11.38</v>
      </c>
      <c r="G114" s="218">
        <v>0</v>
      </c>
      <c r="H114" s="77">
        <f>F114*AM114</f>
        <v>0</v>
      </c>
      <c r="I114" s="77">
        <f>F114*AN114</f>
        <v>0</v>
      </c>
      <c r="J114" s="77">
        <f>F114*G114</f>
        <v>0</v>
      </c>
      <c r="K114" s="77">
        <v>0.48574000000000001</v>
      </c>
      <c r="L114" s="77">
        <f>F114*K114</f>
        <v>5.5277212000000002</v>
      </c>
      <c r="M114" s="103" t="s">
        <v>35</v>
      </c>
      <c r="X114" s="77">
        <f>IF(AO114="5",BH114,0)</f>
        <v>0</v>
      </c>
      <c r="Z114" s="77">
        <f>IF(AO114="1",BF114,0)</f>
        <v>0</v>
      </c>
      <c r="AA114" s="77">
        <f>IF(AO114="1",BG114,0)</f>
        <v>0</v>
      </c>
      <c r="AB114" s="77">
        <f>IF(AO114="7",BF114,0)</f>
        <v>0</v>
      </c>
      <c r="AC114" s="77">
        <f>IF(AO114="7",BG114,0)</f>
        <v>0</v>
      </c>
      <c r="AD114" s="77">
        <f>IF(AO114="2",BF114,0)</f>
        <v>0</v>
      </c>
      <c r="AE114" s="77">
        <f>IF(AO114="2",BG114,0)</f>
        <v>0</v>
      </c>
      <c r="AF114" s="77">
        <f>IF(AO114="0",BH114,0)</f>
        <v>0</v>
      </c>
      <c r="AG114" s="71" t="s">
        <v>129</v>
      </c>
      <c r="AH114" s="77">
        <f>IF(AL114=0,J114,0)</f>
        <v>0</v>
      </c>
      <c r="AI114" s="77">
        <f>IF(AL114=15,J114,0)</f>
        <v>0</v>
      </c>
      <c r="AJ114" s="77">
        <f>IF(AL114=21,J114,0)</f>
        <v>0</v>
      </c>
      <c r="AL114" s="77">
        <v>21</v>
      </c>
      <c r="AM114" s="77">
        <f>G114*0.813418151</f>
        <v>0</v>
      </c>
      <c r="AN114" s="77">
        <f>G114*(1-0.813418151)</f>
        <v>0</v>
      </c>
      <c r="AO114" s="79" t="s">
        <v>132</v>
      </c>
      <c r="AT114" s="77">
        <f>AU114+AV114</f>
        <v>0</v>
      </c>
      <c r="AU114" s="77">
        <f>F114*AM114</f>
        <v>0</v>
      </c>
      <c r="AV114" s="77">
        <f>F114*AN114</f>
        <v>0</v>
      </c>
      <c r="AW114" s="79" t="s">
        <v>301</v>
      </c>
      <c r="AX114" s="79" t="s">
        <v>302</v>
      </c>
      <c r="AY114" s="71" t="s">
        <v>137</v>
      </c>
      <c r="BA114" s="77">
        <f>AU114+AV114</f>
        <v>0</v>
      </c>
      <c r="BB114" s="77">
        <f>G114/(100-BC114)*100</f>
        <v>0</v>
      </c>
      <c r="BC114" s="77">
        <v>0</v>
      </c>
      <c r="BD114" s="77">
        <f>L114</f>
        <v>5.5277212000000002</v>
      </c>
      <c r="BF114" s="77">
        <f>F114*AM114</f>
        <v>0</v>
      </c>
      <c r="BG114" s="77">
        <f>F114*AN114</f>
        <v>0</v>
      </c>
      <c r="BH114" s="77">
        <f>F114*G114</f>
        <v>0</v>
      </c>
      <c r="BI114" s="77"/>
      <c r="BJ114" s="77">
        <v>56</v>
      </c>
      <c r="BU114" s="77" t="e">
        <f>#REF!</f>
        <v>#REF!</v>
      </c>
      <c r="BV114" s="70" t="s">
        <v>771</v>
      </c>
    </row>
    <row r="115" spans="1:74" ht="40.5" customHeight="1" thickBot="1" x14ac:dyDescent="0.3">
      <c r="A115" s="107"/>
      <c r="B115" s="108" t="s">
        <v>138</v>
      </c>
      <c r="C115" s="308" t="s">
        <v>772</v>
      </c>
      <c r="D115" s="309"/>
      <c r="E115" s="309"/>
      <c r="F115" s="309"/>
      <c r="G115" s="309"/>
      <c r="H115" s="309"/>
      <c r="I115" s="309"/>
      <c r="J115" s="309"/>
      <c r="K115" s="309"/>
      <c r="L115" s="309"/>
      <c r="M115" s="310"/>
    </row>
    <row r="116" spans="1:74" x14ac:dyDescent="0.25">
      <c r="A116" s="122" t="s">
        <v>357</v>
      </c>
      <c r="B116" s="109" t="s">
        <v>528</v>
      </c>
      <c r="C116" s="312" t="s">
        <v>773</v>
      </c>
      <c r="D116" s="313"/>
      <c r="E116" s="109" t="s">
        <v>166</v>
      </c>
      <c r="F116" s="123">
        <v>10.84</v>
      </c>
      <c r="G116" s="219">
        <v>0</v>
      </c>
      <c r="H116" s="123">
        <f>F116*AM116</f>
        <v>0</v>
      </c>
      <c r="I116" s="123">
        <f>F116*AN116</f>
        <v>0</v>
      </c>
      <c r="J116" s="123">
        <f>F116*G116</f>
        <v>0</v>
      </c>
      <c r="K116" s="123">
        <v>0.52900000000000003</v>
      </c>
      <c r="L116" s="123">
        <f>F116*K116</f>
        <v>5.7343600000000006</v>
      </c>
      <c r="M116" s="124" t="s">
        <v>35</v>
      </c>
      <c r="X116" s="77">
        <f>IF(AO116="5",BH116,0)</f>
        <v>0</v>
      </c>
      <c r="Z116" s="77">
        <f>IF(AO116="1",BF116,0)</f>
        <v>0</v>
      </c>
      <c r="AA116" s="77">
        <f>IF(AO116="1",BG116,0)</f>
        <v>0</v>
      </c>
      <c r="AB116" s="77">
        <f>IF(AO116="7",BF116,0)</f>
        <v>0</v>
      </c>
      <c r="AC116" s="77">
        <f>IF(AO116="7",BG116,0)</f>
        <v>0</v>
      </c>
      <c r="AD116" s="77">
        <f>IF(AO116="2",BF116,0)</f>
        <v>0</v>
      </c>
      <c r="AE116" s="77">
        <f>IF(AO116="2",BG116,0)</f>
        <v>0</v>
      </c>
      <c r="AF116" s="77">
        <f>IF(AO116="0",BH116,0)</f>
        <v>0</v>
      </c>
      <c r="AG116" s="71" t="s">
        <v>129</v>
      </c>
      <c r="AH116" s="77">
        <f>IF(AL116=0,J116,0)</f>
        <v>0</v>
      </c>
      <c r="AI116" s="77">
        <f>IF(AL116=15,J116,0)</f>
        <v>0</v>
      </c>
      <c r="AJ116" s="77">
        <f>IF(AL116=21,J116,0)</f>
        <v>0</v>
      </c>
      <c r="AL116" s="77">
        <v>21</v>
      </c>
      <c r="AM116" s="77">
        <f>G116*0.853243762</f>
        <v>0</v>
      </c>
      <c r="AN116" s="77">
        <f>G116*(1-0.853243762)</f>
        <v>0</v>
      </c>
      <c r="AO116" s="79" t="s">
        <v>132</v>
      </c>
      <c r="AT116" s="77">
        <f>AU116+AV116</f>
        <v>0</v>
      </c>
      <c r="AU116" s="77">
        <f>F116*AM116</f>
        <v>0</v>
      </c>
      <c r="AV116" s="77">
        <f>F116*AN116</f>
        <v>0</v>
      </c>
      <c r="AW116" s="79" t="s">
        <v>301</v>
      </c>
      <c r="AX116" s="79" t="s">
        <v>302</v>
      </c>
      <c r="AY116" s="71" t="s">
        <v>137</v>
      </c>
      <c r="BA116" s="77">
        <f>AU116+AV116</f>
        <v>0</v>
      </c>
      <c r="BB116" s="77">
        <f>G116/(100-BC116)*100</f>
        <v>0</v>
      </c>
      <c r="BC116" s="77">
        <v>0</v>
      </c>
      <c r="BD116" s="77">
        <f>L116</f>
        <v>5.7343600000000006</v>
      </c>
      <c r="BF116" s="77">
        <f>F116*AM116</f>
        <v>0</v>
      </c>
      <c r="BG116" s="77">
        <f>F116*AN116</f>
        <v>0</v>
      </c>
      <c r="BH116" s="77">
        <f>F116*G116</f>
        <v>0</v>
      </c>
      <c r="BI116" s="77"/>
      <c r="BJ116" s="77">
        <v>56</v>
      </c>
      <c r="BU116" s="77" t="e">
        <f>#REF!</f>
        <v>#REF!</v>
      </c>
      <c r="BV116" s="70" t="s">
        <v>773</v>
      </c>
    </row>
    <row r="117" spans="1:74" ht="40.5" customHeight="1" x14ac:dyDescent="0.25">
      <c r="A117" s="104"/>
      <c r="B117" s="81" t="s">
        <v>138</v>
      </c>
      <c r="C117" s="303" t="s">
        <v>774</v>
      </c>
      <c r="D117" s="304"/>
      <c r="E117" s="304"/>
      <c r="F117" s="304"/>
      <c r="G117" s="304"/>
      <c r="H117" s="304"/>
      <c r="I117" s="304"/>
      <c r="J117" s="304"/>
      <c r="K117" s="304"/>
      <c r="L117" s="304"/>
      <c r="M117" s="305"/>
    </row>
    <row r="118" spans="1:74" x14ac:dyDescent="0.25">
      <c r="A118" s="92" t="s">
        <v>361</v>
      </c>
      <c r="B118" s="69" t="s">
        <v>775</v>
      </c>
      <c r="C118" s="306" t="s">
        <v>776</v>
      </c>
      <c r="D118" s="307"/>
      <c r="E118" s="69" t="s">
        <v>166</v>
      </c>
      <c r="F118" s="77">
        <v>18.64</v>
      </c>
      <c r="G118" s="218">
        <v>0</v>
      </c>
      <c r="H118" s="77">
        <f>F118*AM118</f>
        <v>0</v>
      </c>
      <c r="I118" s="77">
        <f>F118*AN118</f>
        <v>0</v>
      </c>
      <c r="J118" s="77">
        <f>F118*G118</f>
        <v>0</v>
      </c>
      <c r="K118" s="77">
        <v>0.31647999999999998</v>
      </c>
      <c r="L118" s="77">
        <f>F118*K118</f>
        <v>5.8991872000000001</v>
      </c>
      <c r="M118" s="103" t="s">
        <v>35</v>
      </c>
      <c r="X118" s="77">
        <f>IF(AO118="5",BH118,0)</f>
        <v>0</v>
      </c>
      <c r="Z118" s="77">
        <f>IF(AO118="1",BF118,0)</f>
        <v>0</v>
      </c>
      <c r="AA118" s="77">
        <f>IF(AO118="1",BG118,0)</f>
        <v>0</v>
      </c>
      <c r="AB118" s="77">
        <f>IF(AO118="7",BF118,0)</f>
        <v>0</v>
      </c>
      <c r="AC118" s="77">
        <f>IF(AO118="7",BG118,0)</f>
        <v>0</v>
      </c>
      <c r="AD118" s="77">
        <f>IF(AO118="2",BF118,0)</f>
        <v>0</v>
      </c>
      <c r="AE118" s="77">
        <f>IF(AO118="2",BG118,0)</f>
        <v>0</v>
      </c>
      <c r="AF118" s="77">
        <f>IF(AO118="0",BH118,0)</f>
        <v>0</v>
      </c>
      <c r="AG118" s="71" t="s">
        <v>129</v>
      </c>
      <c r="AH118" s="77">
        <f>IF(AL118=0,J118,0)</f>
        <v>0</v>
      </c>
      <c r="AI118" s="77">
        <f>IF(AL118=15,J118,0)</f>
        <v>0</v>
      </c>
      <c r="AJ118" s="77">
        <f>IF(AL118=21,J118,0)</f>
        <v>0</v>
      </c>
      <c r="AL118" s="77">
        <v>21</v>
      </c>
      <c r="AM118" s="77">
        <f>G118*0.850057422</f>
        <v>0</v>
      </c>
      <c r="AN118" s="77">
        <f>G118*(1-0.850057422)</f>
        <v>0</v>
      </c>
      <c r="AO118" s="79" t="s">
        <v>132</v>
      </c>
      <c r="AT118" s="77">
        <f>AU118+AV118</f>
        <v>0</v>
      </c>
      <c r="AU118" s="77">
        <f>F118*AM118</f>
        <v>0</v>
      </c>
      <c r="AV118" s="77">
        <f>F118*AN118</f>
        <v>0</v>
      </c>
      <c r="AW118" s="79" t="s">
        <v>301</v>
      </c>
      <c r="AX118" s="79" t="s">
        <v>302</v>
      </c>
      <c r="AY118" s="71" t="s">
        <v>137</v>
      </c>
      <c r="BA118" s="77">
        <f>AU118+AV118</f>
        <v>0</v>
      </c>
      <c r="BB118" s="77">
        <f>G118/(100-BC118)*100</f>
        <v>0</v>
      </c>
      <c r="BC118" s="77">
        <v>0</v>
      </c>
      <c r="BD118" s="77">
        <f>L118</f>
        <v>5.8991872000000001</v>
      </c>
      <c r="BF118" s="77">
        <f>F118*AM118</f>
        <v>0</v>
      </c>
      <c r="BG118" s="77">
        <f>F118*AN118</f>
        <v>0</v>
      </c>
      <c r="BH118" s="77">
        <f>F118*G118</f>
        <v>0</v>
      </c>
      <c r="BI118" s="77"/>
      <c r="BJ118" s="77">
        <v>56</v>
      </c>
      <c r="BU118" s="77" t="e">
        <f>#REF!</f>
        <v>#REF!</v>
      </c>
      <c r="BV118" s="70" t="s">
        <v>776</v>
      </c>
    </row>
    <row r="119" spans="1:74" ht="40.5" customHeight="1" x14ac:dyDescent="0.25">
      <c r="A119" s="104"/>
      <c r="B119" s="81" t="s">
        <v>138</v>
      </c>
      <c r="C119" s="303" t="s">
        <v>777</v>
      </c>
      <c r="D119" s="304"/>
      <c r="E119" s="304"/>
      <c r="F119" s="304"/>
      <c r="G119" s="304"/>
      <c r="H119" s="304"/>
      <c r="I119" s="304"/>
      <c r="J119" s="304"/>
      <c r="K119" s="304"/>
      <c r="L119" s="304"/>
      <c r="M119" s="305"/>
    </row>
    <row r="120" spans="1:74" x14ac:dyDescent="0.25">
      <c r="A120" s="105" t="s">
        <v>129</v>
      </c>
      <c r="B120" s="74" t="s">
        <v>403</v>
      </c>
      <c r="C120" s="314" t="s">
        <v>778</v>
      </c>
      <c r="D120" s="315"/>
      <c r="E120" s="75" t="s">
        <v>87</v>
      </c>
      <c r="F120" s="75" t="s">
        <v>87</v>
      </c>
      <c r="G120" s="75" t="s">
        <v>87</v>
      </c>
      <c r="H120" s="67">
        <f>SUM(H121:H129)</f>
        <v>0</v>
      </c>
      <c r="I120" s="67">
        <f>SUM(I121:I129)</f>
        <v>0</v>
      </c>
      <c r="J120" s="67">
        <f>SUM(J121:J129)</f>
        <v>0</v>
      </c>
      <c r="K120" s="71" t="s">
        <v>129</v>
      </c>
      <c r="L120" s="67">
        <f>SUM(L121:L129)</f>
        <v>5.3103496000000003</v>
      </c>
      <c r="M120" s="106" t="s">
        <v>129</v>
      </c>
      <c r="AG120" s="71" t="s">
        <v>129</v>
      </c>
      <c r="AQ120" s="67">
        <f>SUM(AH121:AH129)</f>
        <v>0</v>
      </c>
      <c r="AR120" s="67">
        <f>SUM(AI121:AI129)</f>
        <v>0</v>
      </c>
      <c r="AS120" s="67">
        <f>SUM(AJ121:AJ129)</f>
        <v>0</v>
      </c>
    </row>
    <row r="121" spans="1:74" x14ac:dyDescent="0.25">
      <c r="A121" s="92" t="s">
        <v>366</v>
      </c>
      <c r="B121" s="69" t="s">
        <v>779</v>
      </c>
      <c r="C121" s="306" t="s">
        <v>780</v>
      </c>
      <c r="D121" s="307"/>
      <c r="E121" s="69" t="s">
        <v>166</v>
      </c>
      <c r="F121" s="77">
        <v>18.64</v>
      </c>
      <c r="G121" s="218">
        <v>0</v>
      </c>
      <c r="H121" s="77">
        <f>F121*AM121</f>
        <v>0</v>
      </c>
      <c r="I121" s="77">
        <f>F121*AN121</f>
        <v>0</v>
      </c>
      <c r="J121" s="77">
        <f>F121*G121</f>
        <v>0</v>
      </c>
      <c r="K121" s="77">
        <v>6.9999999999999999E-4</v>
      </c>
      <c r="L121" s="77">
        <f>F121*K121</f>
        <v>1.3048000000000001E-2</v>
      </c>
      <c r="M121" s="103" t="s">
        <v>35</v>
      </c>
      <c r="X121" s="77">
        <f>IF(AO121="5",BH121,0)</f>
        <v>0</v>
      </c>
      <c r="Z121" s="77">
        <f>IF(AO121="1",BF121,0)</f>
        <v>0</v>
      </c>
      <c r="AA121" s="77">
        <f>IF(AO121="1",BG121,0)</f>
        <v>0</v>
      </c>
      <c r="AB121" s="77">
        <f>IF(AO121="7",BF121,0)</f>
        <v>0</v>
      </c>
      <c r="AC121" s="77">
        <f>IF(AO121="7",BG121,0)</f>
        <v>0</v>
      </c>
      <c r="AD121" s="77">
        <f>IF(AO121="2",BF121,0)</f>
        <v>0</v>
      </c>
      <c r="AE121" s="77">
        <f>IF(AO121="2",BG121,0)</f>
        <v>0</v>
      </c>
      <c r="AF121" s="77">
        <f>IF(AO121="0",BH121,0)</f>
        <v>0</v>
      </c>
      <c r="AG121" s="71" t="s">
        <v>129</v>
      </c>
      <c r="AH121" s="77">
        <f>IF(AL121=0,J121,0)</f>
        <v>0</v>
      </c>
      <c r="AI121" s="77">
        <f>IF(AL121=15,J121,0)</f>
        <v>0</v>
      </c>
      <c r="AJ121" s="77">
        <f>IF(AL121=21,J121,0)</f>
        <v>0</v>
      </c>
      <c r="AL121" s="77">
        <v>21</v>
      </c>
      <c r="AM121" s="77">
        <f>G121*0.929561563</f>
        <v>0</v>
      </c>
      <c r="AN121" s="77">
        <f>G121*(1-0.929561563)</f>
        <v>0</v>
      </c>
      <c r="AO121" s="79" t="s">
        <v>132</v>
      </c>
      <c r="AT121" s="77">
        <f>AU121+AV121</f>
        <v>0</v>
      </c>
      <c r="AU121" s="77">
        <f>F121*AM121</f>
        <v>0</v>
      </c>
      <c r="AV121" s="77">
        <f>F121*AN121</f>
        <v>0</v>
      </c>
      <c r="AW121" s="79" t="s">
        <v>781</v>
      </c>
      <c r="AX121" s="79" t="s">
        <v>302</v>
      </c>
      <c r="AY121" s="71" t="s">
        <v>137</v>
      </c>
      <c r="BA121" s="77">
        <f>AU121+AV121</f>
        <v>0</v>
      </c>
      <c r="BB121" s="77">
        <f>G121/(100-BC121)*100</f>
        <v>0</v>
      </c>
      <c r="BC121" s="77">
        <v>0</v>
      </c>
      <c r="BD121" s="77">
        <f>L121</f>
        <v>1.3048000000000001E-2</v>
      </c>
      <c r="BF121" s="77">
        <f>F121*AM121</f>
        <v>0</v>
      </c>
      <c r="BG121" s="77">
        <f>F121*AN121</f>
        <v>0</v>
      </c>
      <c r="BH121" s="77">
        <f>F121*G121</f>
        <v>0</v>
      </c>
      <c r="BI121" s="77"/>
      <c r="BJ121" s="77">
        <v>57</v>
      </c>
      <c r="BU121" s="77" t="e">
        <f>#REF!</f>
        <v>#REF!</v>
      </c>
      <c r="BV121" s="70" t="s">
        <v>780</v>
      </c>
    </row>
    <row r="122" spans="1:74" ht="40.5" customHeight="1" x14ac:dyDescent="0.25">
      <c r="A122" s="104"/>
      <c r="B122" s="81" t="s">
        <v>138</v>
      </c>
      <c r="C122" s="303" t="s">
        <v>782</v>
      </c>
      <c r="D122" s="304"/>
      <c r="E122" s="304"/>
      <c r="F122" s="304"/>
      <c r="G122" s="304"/>
      <c r="H122" s="304"/>
      <c r="I122" s="304"/>
      <c r="J122" s="304"/>
      <c r="K122" s="304"/>
      <c r="L122" s="304"/>
      <c r="M122" s="305"/>
    </row>
    <row r="123" spans="1:74" x14ac:dyDescent="0.25">
      <c r="A123" s="92" t="s">
        <v>370</v>
      </c>
      <c r="B123" s="69" t="s">
        <v>783</v>
      </c>
      <c r="C123" s="306" t="s">
        <v>784</v>
      </c>
      <c r="D123" s="307"/>
      <c r="E123" s="69" t="s">
        <v>166</v>
      </c>
      <c r="F123" s="77">
        <v>18.64</v>
      </c>
      <c r="G123" s="218">
        <v>0</v>
      </c>
      <c r="H123" s="77">
        <f>F123*AM123</f>
        <v>0</v>
      </c>
      <c r="I123" s="77">
        <f>F123*AN123</f>
        <v>0</v>
      </c>
      <c r="J123" s="77">
        <f>F123*G123</f>
        <v>0</v>
      </c>
      <c r="K123" s="77">
        <v>5.0000000000000001E-4</v>
      </c>
      <c r="L123" s="77">
        <f>F123*K123</f>
        <v>9.3200000000000002E-3</v>
      </c>
      <c r="M123" s="103" t="s">
        <v>35</v>
      </c>
      <c r="X123" s="77">
        <f>IF(AO123="5",BH123,0)</f>
        <v>0</v>
      </c>
      <c r="Z123" s="77">
        <f>IF(AO123="1",BF123,0)</f>
        <v>0</v>
      </c>
      <c r="AA123" s="77">
        <f>IF(AO123="1",BG123,0)</f>
        <v>0</v>
      </c>
      <c r="AB123" s="77">
        <f>IF(AO123="7",BF123,0)</f>
        <v>0</v>
      </c>
      <c r="AC123" s="77">
        <f>IF(AO123="7",BG123,0)</f>
        <v>0</v>
      </c>
      <c r="AD123" s="77">
        <f>IF(AO123="2",BF123,0)</f>
        <v>0</v>
      </c>
      <c r="AE123" s="77">
        <f>IF(AO123="2",BG123,0)</f>
        <v>0</v>
      </c>
      <c r="AF123" s="77">
        <f>IF(AO123="0",BH123,0)</f>
        <v>0</v>
      </c>
      <c r="AG123" s="71" t="s">
        <v>129</v>
      </c>
      <c r="AH123" s="77">
        <f>IF(AL123=0,J123,0)</f>
        <v>0</v>
      </c>
      <c r="AI123" s="77">
        <f>IF(AL123=15,J123,0)</f>
        <v>0</v>
      </c>
      <c r="AJ123" s="77">
        <f>IF(AL123=21,J123,0)</f>
        <v>0</v>
      </c>
      <c r="AL123" s="77">
        <v>21</v>
      </c>
      <c r="AM123" s="77">
        <f>G123*0.904013826</f>
        <v>0</v>
      </c>
      <c r="AN123" s="77">
        <f>G123*(1-0.904013826)</f>
        <v>0</v>
      </c>
      <c r="AO123" s="79" t="s">
        <v>132</v>
      </c>
      <c r="AT123" s="77">
        <f>AU123+AV123</f>
        <v>0</v>
      </c>
      <c r="AU123" s="77">
        <f>F123*AM123</f>
        <v>0</v>
      </c>
      <c r="AV123" s="77">
        <f>F123*AN123</f>
        <v>0</v>
      </c>
      <c r="AW123" s="79" t="s">
        <v>781</v>
      </c>
      <c r="AX123" s="79" t="s">
        <v>302</v>
      </c>
      <c r="AY123" s="71" t="s">
        <v>137</v>
      </c>
      <c r="BA123" s="77">
        <f>AU123+AV123</f>
        <v>0</v>
      </c>
      <c r="BB123" s="77">
        <f>G123/(100-BC123)*100</f>
        <v>0</v>
      </c>
      <c r="BC123" s="77">
        <v>0</v>
      </c>
      <c r="BD123" s="77">
        <f>L123</f>
        <v>9.3200000000000002E-3</v>
      </c>
      <c r="BF123" s="77">
        <f>F123*AM123</f>
        <v>0</v>
      </c>
      <c r="BG123" s="77">
        <f>F123*AN123</f>
        <v>0</v>
      </c>
      <c r="BH123" s="77">
        <f>F123*G123</f>
        <v>0</v>
      </c>
      <c r="BI123" s="77"/>
      <c r="BJ123" s="77">
        <v>57</v>
      </c>
      <c r="BU123" s="77" t="e">
        <f>#REF!</f>
        <v>#REF!</v>
      </c>
      <c r="BV123" s="70" t="s">
        <v>784</v>
      </c>
    </row>
    <row r="124" spans="1:74" ht="40.5" customHeight="1" x14ac:dyDescent="0.25">
      <c r="A124" s="104"/>
      <c r="B124" s="81" t="s">
        <v>138</v>
      </c>
      <c r="C124" s="303" t="s">
        <v>785</v>
      </c>
      <c r="D124" s="304"/>
      <c r="E124" s="304"/>
      <c r="F124" s="304"/>
      <c r="G124" s="304"/>
      <c r="H124" s="304"/>
      <c r="I124" s="304"/>
      <c r="J124" s="304"/>
      <c r="K124" s="304"/>
      <c r="L124" s="304"/>
      <c r="M124" s="305"/>
    </row>
    <row r="125" spans="1:74" x14ac:dyDescent="0.25">
      <c r="A125" s="92" t="s">
        <v>374</v>
      </c>
      <c r="B125" s="69" t="s">
        <v>786</v>
      </c>
      <c r="C125" s="306" t="s">
        <v>787</v>
      </c>
      <c r="D125" s="307"/>
      <c r="E125" s="69" t="s">
        <v>166</v>
      </c>
      <c r="F125" s="77">
        <v>18.64</v>
      </c>
      <c r="G125" s="218">
        <v>0</v>
      </c>
      <c r="H125" s="77">
        <f>F125*AM125</f>
        <v>0</v>
      </c>
      <c r="I125" s="77">
        <f>F125*AN125</f>
        <v>0</v>
      </c>
      <c r="J125" s="77">
        <f>F125*G125</f>
        <v>0</v>
      </c>
      <c r="K125" s="77">
        <v>0.17946000000000001</v>
      </c>
      <c r="L125" s="77">
        <f>F125*K125</f>
        <v>3.3451344000000001</v>
      </c>
      <c r="M125" s="103" t="s">
        <v>35</v>
      </c>
      <c r="X125" s="77">
        <f>IF(AO125="5",BH125,0)</f>
        <v>0</v>
      </c>
      <c r="Z125" s="77">
        <f>IF(AO125="1",BF125,0)</f>
        <v>0</v>
      </c>
      <c r="AA125" s="77">
        <f>IF(AO125="1",BG125,0)</f>
        <v>0</v>
      </c>
      <c r="AB125" s="77">
        <f>IF(AO125="7",BF125,0)</f>
        <v>0</v>
      </c>
      <c r="AC125" s="77">
        <f>IF(AO125="7",BG125,0)</f>
        <v>0</v>
      </c>
      <c r="AD125" s="77">
        <f>IF(AO125="2",BF125,0)</f>
        <v>0</v>
      </c>
      <c r="AE125" s="77">
        <f>IF(AO125="2",BG125,0)</f>
        <v>0</v>
      </c>
      <c r="AF125" s="77">
        <f>IF(AO125="0",BH125,0)</f>
        <v>0</v>
      </c>
      <c r="AG125" s="71" t="s">
        <v>129</v>
      </c>
      <c r="AH125" s="77">
        <f>IF(AL125=0,J125,0)</f>
        <v>0</v>
      </c>
      <c r="AI125" s="77">
        <f>IF(AL125=15,J125,0)</f>
        <v>0</v>
      </c>
      <c r="AJ125" s="77">
        <f>IF(AL125=21,J125,0)</f>
        <v>0</v>
      </c>
      <c r="AL125" s="77">
        <v>21</v>
      </c>
      <c r="AM125" s="77">
        <f>G125*0.909098278</f>
        <v>0</v>
      </c>
      <c r="AN125" s="77">
        <f>G125*(1-0.909098278)</f>
        <v>0</v>
      </c>
      <c r="AO125" s="79" t="s">
        <v>132</v>
      </c>
      <c r="AT125" s="77">
        <f>AU125+AV125</f>
        <v>0</v>
      </c>
      <c r="AU125" s="77">
        <f>F125*AM125</f>
        <v>0</v>
      </c>
      <c r="AV125" s="77">
        <f>F125*AN125</f>
        <v>0</v>
      </c>
      <c r="AW125" s="79" t="s">
        <v>781</v>
      </c>
      <c r="AX125" s="79" t="s">
        <v>302</v>
      </c>
      <c r="AY125" s="71" t="s">
        <v>137</v>
      </c>
      <c r="BA125" s="77">
        <f>AU125+AV125</f>
        <v>0</v>
      </c>
      <c r="BB125" s="77">
        <f>G125/(100-BC125)*100</f>
        <v>0</v>
      </c>
      <c r="BC125" s="77">
        <v>0</v>
      </c>
      <c r="BD125" s="77">
        <f>L125</f>
        <v>3.3451344000000001</v>
      </c>
      <c r="BF125" s="77">
        <f>F125*AM125</f>
        <v>0</v>
      </c>
      <c r="BG125" s="77">
        <f>F125*AN125</f>
        <v>0</v>
      </c>
      <c r="BH125" s="77">
        <f>F125*G125</f>
        <v>0</v>
      </c>
      <c r="BI125" s="77"/>
      <c r="BJ125" s="77">
        <v>57</v>
      </c>
      <c r="BU125" s="77" t="e">
        <f>#REF!</f>
        <v>#REF!</v>
      </c>
      <c r="BV125" s="70" t="s">
        <v>787</v>
      </c>
    </row>
    <row r="126" spans="1:74" ht="40.5" customHeight="1" x14ac:dyDescent="0.25">
      <c r="A126" s="104"/>
      <c r="B126" s="81" t="s">
        <v>138</v>
      </c>
      <c r="C126" s="303" t="s">
        <v>788</v>
      </c>
      <c r="D126" s="304"/>
      <c r="E126" s="304"/>
      <c r="F126" s="304"/>
      <c r="G126" s="304"/>
      <c r="H126" s="304"/>
      <c r="I126" s="304"/>
      <c r="J126" s="304"/>
      <c r="K126" s="304"/>
      <c r="L126" s="304"/>
      <c r="M126" s="305"/>
    </row>
    <row r="127" spans="1:74" x14ac:dyDescent="0.25">
      <c r="A127" s="92" t="s">
        <v>380</v>
      </c>
      <c r="B127" s="69" t="s">
        <v>783</v>
      </c>
      <c r="C127" s="306" t="s">
        <v>784</v>
      </c>
      <c r="D127" s="307"/>
      <c r="E127" s="69" t="s">
        <v>166</v>
      </c>
      <c r="F127" s="77">
        <v>18.64</v>
      </c>
      <c r="G127" s="218">
        <v>0</v>
      </c>
      <c r="H127" s="77">
        <f>F127*AM127</f>
        <v>0</v>
      </c>
      <c r="I127" s="77">
        <f>F127*AN127</f>
        <v>0</v>
      </c>
      <c r="J127" s="77">
        <f>F127*G127</f>
        <v>0</v>
      </c>
      <c r="K127" s="77">
        <v>5.0000000000000001E-4</v>
      </c>
      <c r="L127" s="77">
        <f>F127*K127</f>
        <v>9.3200000000000002E-3</v>
      </c>
      <c r="M127" s="103" t="s">
        <v>35</v>
      </c>
      <c r="X127" s="77">
        <f>IF(AO127="5",BH127,0)</f>
        <v>0</v>
      </c>
      <c r="Z127" s="77">
        <f>IF(AO127="1",BF127,0)</f>
        <v>0</v>
      </c>
      <c r="AA127" s="77">
        <f>IF(AO127="1",BG127,0)</f>
        <v>0</v>
      </c>
      <c r="AB127" s="77">
        <f>IF(AO127="7",BF127,0)</f>
        <v>0</v>
      </c>
      <c r="AC127" s="77">
        <f>IF(AO127="7",BG127,0)</f>
        <v>0</v>
      </c>
      <c r="AD127" s="77">
        <f>IF(AO127="2",BF127,0)</f>
        <v>0</v>
      </c>
      <c r="AE127" s="77">
        <f>IF(AO127="2",BG127,0)</f>
        <v>0</v>
      </c>
      <c r="AF127" s="77">
        <f>IF(AO127="0",BH127,0)</f>
        <v>0</v>
      </c>
      <c r="AG127" s="71" t="s">
        <v>129</v>
      </c>
      <c r="AH127" s="77">
        <f>IF(AL127=0,J127,0)</f>
        <v>0</v>
      </c>
      <c r="AI127" s="77">
        <f>IF(AL127=15,J127,0)</f>
        <v>0</v>
      </c>
      <c r="AJ127" s="77">
        <f>IF(AL127=21,J127,0)</f>
        <v>0</v>
      </c>
      <c r="AL127" s="77">
        <v>21</v>
      </c>
      <c r="AM127" s="77">
        <f>G127*0.904013826</f>
        <v>0</v>
      </c>
      <c r="AN127" s="77">
        <f>G127*(1-0.904013826)</f>
        <v>0</v>
      </c>
      <c r="AO127" s="79" t="s">
        <v>132</v>
      </c>
      <c r="AT127" s="77">
        <f>AU127+AV127</f>
        <v>0</v>
      </c>
      <c r="AU127" s="77">
        <f>F127*AM127</f>
        <v>0</v>
      </c>
      <c r="AV127" s="77">
        <f>F127*AN127</f>
        <v>0</v>
      </c>
      <c r="AW127" s="79" t="s">
        <v>781</v>
      </c>
      <c r="AX127" s="79" t="s">
        <v>302</v>
      </c>
      <c r="AY127" s="71" t="s">
        <v>137</v>
      </c>
      <c r="BA127" s="77">
        <f>AU127+AV127</f>
        <v>0</v>
      </c>
      <c r="BB127" s="77">
        <f>G127/(100-BC127)*100</f>
        <v>0</v>
      </c>
      <c r="BC127" s="77">
        <v>0</v>
      </c>
      <c r="BD127" s="77">
        <f>L127</f>
        <v>9.3200000000000002E-3</v>
      </c>
      <c r="BF127" s="77">
        <f>F127*AM127</f>
        <v>0</v>
      </c>
      <c r="BG127" s="77">
        <f>F127*AN127</f>
        <v>0</v>
      </c>
      <c r="BH127" s="77">
        <f>F127*G127</f>
        <v>0</v>
      </c>
      <c r="BI127" s="77"/>
      <c r="BJ127" s="77">
        <v>57</v>
      </c>
      <c r="BU127" s="77" t="e">
        <f>#REF!</f>
        <v>#REF!</v>
      </c>
      <c r="BV127" s="70" t="s">
        <v>784</v>
      </c>
    </row>
    <row r="128" spans="1:74" ht="40.5" customHeight="1" x14ac:dyDescent="0.25">
      <c r="A128" s="104"/>
      <c r="B128" s="81" t="s">
        <v>138</v>
      </c>
      <c r="C128" s="303" t="s">
        <v>785</v>
      </c>
      <c r="D128" s="304"/>
      <c r="E128" s="304"/>
      <c r="F128" s="304"/>
      <c r="G128" s="304"/>
      <c r="H128" s="304"/>
      <c r="I128" s="304"/>
      <c r="J128" s="304"/>
      <c r="K128" s="304"/>
      <c r="L128" s="304"/>
      <c r="M128" s="305"/>
    </row>
    <row r="129" spans="1:74" x14ac:dyDescent="0.25">
      <c r="A129" s="92" t="s">
        <v>388</v>
      </c>
      <c r="B129" s="69" t="s">
        <v>789</v>
      </c>
      <c r="C129" s="306" t="s">
        <v>790</v>
      </c>
      <c r="D129" s="307"/>
      <c r="E129" s="69" t="s">
        <v>166</v>
      </c>
      <c r="F129" s="77">
        <v>18.64</v>
      </c>
      <c r="G129" s="218">
        <v>0</v>
      </c>
      <c r="H129" s="77">
        <f>F129*AM129</f>
        <v>0</v>
      </c>
      <c r="I129" s="77">
        <f>F129*AN129</f>
        <v>0</v>
      </c>
      <c r="J129" s="77">
        <f>F129*G129</f>
        <v>0</v>
      </c>
      <c r="K129" s="77">
        <v>0.10373</v>
      </c>
      <c r="L129" s="77">
        <f>F129*K129</f>
        <v>1.9335272000000001</v>
      </c>
      <c r="M129" s="103" t="s">
        <v>35</v>
      </c>
      <c r="X129" s="77">
        <f>IF(AO129="5",BH129,0)</f>
        <v>0</v>
      </c>
      <c r="Z129" s="77">
        <f>IF(AO129="1",BF129,0)</f>
        <v>0</v>
      </c>
      <c r="AA129" s="77">
        <f>IF(AO129="1",BG129,0)</f>
        <v>0</v>
      </c>
      <c r="AB129" s="77">
        <f>IF(AO129="7",BF129,0)</f>
        <v>0</v>
      </c>
      <c r="AC129" s="77">
        <f>IF(AO129="7",BG129,0)</f>
        <v>0</v>
      </c>
      <c r="AD129" s="77">
        <f>IF(AO129="2",BF129,0)</f>
        <v>0</v>
      </c>
      <c r="AE129" s="77">
        <f>IF(AO129="2",BG129,0)</f>
        <v>0</v>
      </c>
      <c r="AF129" s="77">
        <f>IF(AO129="0",BH129,0)</f>
        <v>0</v>
      </c>
      <c r="AG129" s="71" t="s">
        <v>129</v>
      </c>
      <c r="AH129" s="77">
        <f>IF(AL129=0,J129,0)</f>
        <v>0</v>
      </c>
      <c r="AI129" s="77">
        <f>IF(AL129=15,J129,0)</f>
        <v>0</v>
      </c>
      <c r="AJ129" s="77">
        <f>IF(AL129=21,J129,0)</f>
        <v>0</v>
      </c>
      <c r="AL129" s="77">
        <v>21</v>
      </c>
      <c r="AM129" s="77">
        <f>G129*0.763101377</f>
        <v>0</v>
      </c>
      <c r="AN129" s="77">
        <f>G129*(1-0.763101377)</f>
        <v>0</v>
      </c>
      <c r="AO129" s="79" t="s">
        <v>132</v>
      </c>
      <c r="AT129" s="77">
        <f>AU129+AV129</f>
        <v>0</v>
      </c>
      <c r="AU129" s="77">
        <f>F129*AM129</f>
        <v>0</v>
      </c>
      <c r="AV129" s="77">
        <f>F129*AN129</f>
        <v>0</v>
      </c>
      <c r="AW129" s="79" t="s">
        <v>781</v>
      </c>
      <c r="AX129" s="79" t="s">
        <v>302</v>
      </c>
      <c r="AY129" s="71" t="s">
        <v>137</v>
      </c>
      <c r="BA129" s="77">
        <f>AU129+AV129</f>
        <v>0</v>
      </c>
      <c r="BB129" s="77">
        <f>G129/(100-BC129)*100</f>
        <v>0</v>
      </c>
      <c r="BC129" s="77">
        <v>0</v>
      </c>
      <c r="BD129" s="77">
        <f>L129</f>
        <v>1.9335272000000001</v>
      </c>
      <c r="BF129" s="77">
        <f>F129*AM129</f>
        <v>0</v>
      </c>
      <c r="BG129" s="77">
        <f>F129*AN129</f>
        <v>0</v>
      </c>
      <c r="BH129" s="77">
        <f>F129*G129</f>
        <v>0</v>
      </c>
      <c r="BI129" s="77"/>
      <c r="BJ129" s="77">
        <v>57</v>
      </c>
      <c r="BU129" s="77" t="e">
        <f>#REF!</f>
        <v>#REF!</v>
      </c>
      <c r="BV129" s="70" t="s">
        <v>790</v>
      </c>
    </row>
    <row r="130" spans="1:74" ht="40.5" customHeight="1" x14ac:dyDescent="0.25">
      <c r="A130" s="104"/>
      <c r="B130" s="81" t="s">
        <v>138</v>
      </c>
      <c r="C130" s="303" t="s">
        <v>791</v>
      </c>
      <c r="D130" s="304"/>
      <c r="E130" s="304"/>
      <c r="F130" s="304"/>
      <c r="G130" s="304"/>
      <c r="H130" s="304"/>
      <c r="I130" s="304"/>
      <c r="J130" s="304"/>
      <c r="K130" s="304"/>
      <c r="L130" s="304"/>
      <c r="M130" s="305"/>
    </row>
    <row r="131" spans="1:74" x14ac:dyDescent="0.25">
      <c r="A131" s="105" t="s">
        <v>129</v>
      </c>
      <c r="B131" s="74" t="s">
        <v>531</v>
      </c>
      <c r="C131" s="314" t="s">
        <v>532</v>
      </c>
      <c r="D131" s="315"/>
      <c r="E131" s="75" t="s">
        <v>87</v>
      </c>
      <c r="F131" s="75" t="s">
        <v>87</v>
      </c>
      <c r="G131" s="75" t="s">
        <v>87</v>
      </c>
      <c r="H131" s="67">
        <f>SUM(H132:H138)</f>
        <v>0</v>
      </c>
      <c r="I131" s="67">
        <f>SUM(I132:I138)</f>
        <v>0</v>
      </c>
      <c r="J131" s="67">
        <f>SUM(J132:J138)</f>
        <v>0</v>
      </c>
      <c r="K131" s="71" t="s">
        <v>129</v>
      </c>
      <c r="L131" s="67">
        <f>SUM(L132:L138)</f>
        <v>3.0988000000000005E-3</v>
      </c>
      <c r="M131" s="106" t="s">
        <v>129</v>
      </c>
      <c r="AG131" s="71" t="s">
        <v>129</v>
      </c>
      <c r="AQ131" s="67">
        <f>SUM(AH132:AH138)</f>
        <v>0</v>
      </c>
      <c r="AR131" s="67">
        <f>SUM(AI132:AI138)</f>
        <v>0</v>
      </c>
      <c r="AS131" s="67">
        <f>SUM(AJ132:AJ138)</f>
        <v>0</v>
      </c>
    </row>
    <row r="132" spans="1:74" x14ac:dyDescent="0.25">
      <c r="A132" s="92" t="s">
        <v>392</v>
      </c>
      <c r="B132" s="69" t="s">
        <v>533</v>
      </c>
      <c r="C132" s="306" t="s">
        <v>534</v>
      </c>
      <c r="D132" s="307"/>
      <c r="E132" s="69" t="s">
        <v>145</v>
      </c>
      <c r="F132" s="77">
        <v>14.88</v>
      </c>
      <c r="G132" s="218">
        <v>0</v>
      </c>
      <c r="H132" s="77">
        <f>F132*AM132</f>
        <v>0</v>
      </c>
      <c r="I132" s="77">
        <f>F132*AN132</f>
        <v>0</v>
      </c>
      <c r="J132" s="77">
        <f>F132*G132</f>
        <v>0</v>
      </c>
      <c r="K132" s="77">
        <v>1.0000000000000001E-5</v>
      </c>
      <c r="L132" s="77">
        <f>F132*K132</f>
        <v>1.4880000000000001E-4</v>
      </c>
      <c r="M132" s="103" t="s">
        <v>35</v>
      </c>
      <c r="X132" s="77">
        <f>IF(AO132="5",BH132,0)</f>
        <v>0</v>
      </c>
      <c r="Z132" s="77">
        <f>IF(AO132="1",BF132,0)</f>
        <v>0</v>
      </c>
      <c r="AA132" s="77">
        <f>IF(AO132="1",BG132,0)</f>
        <v>0</v>
      </c>
      <c r="AB132" s="77">
        <f>IF(AO132="7",BF132,0)</f>
        <v>0</v>
      </c>
      <c r="AC132" s="77">
        <f>IF(AO132="7",BG132,0)</f>
        <v>0</v>
      </c>
      <c r="AD132" s="77">
        <f>IF(AO132="2",BF132,0)</f>
        <v>0</v>
      </c>
      <c r="AE132" s="77">
        <f>IF(AO132="2",BG132,0)</f>
        <v>0</v>
      </c>
      <c r="AF132" s="77">
        <f>IF(AO132="0",BH132,0)</f>
        <v>0</v>
      </c>
      <c r="AG132" s="71" t="s">
        <v>129</v>
      </c>
      <c r="AH132" s="77">
        <f>IF(AL132=0,J132,0)</f>
        <v>0</v>
      </c>
      <c r="AI132" s="77">
        <f>IF(AL132=15,J132,0)</f>
        <v>0</v>
      </c>
      <c r="AJ132" s="77">
        <f>IF(AL132=21,J132,0)</f>
        <v>0</v>
      </c>
      <c r="AL132" s="77">
        <v>21</v>
      </c>
      <c r="AM132" s="77">
        <f>G132*0.156860701</f>
        <v>0</v>
      </c>
      <c r="AN132" s="77">
        <f>G132*(1-0.156860701)</f>
        <v>0</v>
      </c>
      <c r="AO132" s="79" t="s">
        <v>132</v>
      </c>
      <c r="AT132" s="77">
        <f>AU132+AV132</f>
        <v>0</v>
      </c>
      <c r="AU132" s="77">
        <f>F132*AM132</f>
        <v>0</v>
      </c>
      <c r="AV132" s="77">
        <f>F132*AN132</f>
        <v>0</v>
      </c>
      <c r="AW132" s="79" t="s">
        <v>535</v>
      </c>
      <c r="AX132" s="79" t="s">
        <v>320</v>
      </c>
      <c r="AY132" s="71" t="s">
        <v>137</v>
      </c>
      <c r="BA132" s="77">
        <f>AU132+AV132</f>
        <v>0</v>
      </c>
      <c r="BB132" s="77">
        <f>G132/(100-BC132)*100</f>
        <v>0</v>
      </c>
      <c r="BC132" s="77">
        <v>0</v>
      </c>
      <c r="BD132" s="77">
        <f>L132</f>
        <v>1.4880000000000001E-4</v>
      </c>
      <c r="BF132" s="77">
        <f>F132*AM132</f>
        <v>0</v>
      </c>
      <c r="BG132" s="77">
        <f>F132*AN132</f>
        <v>0</v>
      </c>
      <c r="BH132" s="77">
        <f>F132*G132</f>
        <v>0</v>
      </c>
      <c r="BI132" s="77"/>
      <c r="BJ132" s="77">
        <v>85</v>
      </c>
      <c r="BU132" s="77" t="e">
        <f>#REF!</f>
        <v>#REF!</v>
      </c>
      <c r="BV132" s="70" t="s">
        <v>534</v>
      </c>
    </row>
    <row r="133" spans="1:74" ht="67.5" customHeight="1" x14ac:dyDescent="0.25">
      <c r="A133" s="104"/>
      <c r="B133" s="81" t="s">
        <v>138</v>
      </c>
      <c r="C133" s="303" t="s">
        <v>792</v>
      </c>
      <c r="D133" s="304"/>
      <c r="E133" s="304"/>
      <c r="F133" s="304"/>
      <c r="G133" s="304"/>
      <c r="H133" s="304"/>
      <c r="I133" s="304"/>
      <c r="J133" s="304"/>
      <c r="K133" s="304"/>
      <c r="L133" s="304"/>
      <c r="M133" s="305"/>
    </row>
    <row r="134" spans="1:74" x14ac:dyDescent="0.25">
      <c r="A134" s="92" t="s">
        <v>396</v>
      </c>
      <c r="B134" s="69" t="s">
        <v>537</v>
      </c>
      <c r="C134" s="306" t="s">
        <v>538</v>
      </c>
      <c r="D134" s="307"/>
      <c r="E134" s="69" t="s">
        <v>325</v>
      </c>
      <c r="F134" s="77">
        <v>1</v>
      </c>
      <c r="G134" s="218">
        <v>0</v>
      </c>
      <c r="H134" s="77">
        <f>F134*AM134</f>
        <v>0</v>
      </c>
      <c r="I134" s="77">
        <f>F134*AN134</f>
        <v>0</v>
      </c>
      <c r="J134" s="77">
        <f>F134*G134</f>
        <v>0</v>
      </c>
      <c r="K134" s="77">
        <v>6.2E-4</v>
      </c>
      <c r="L134" s="77">
        <f>F134*K134</f>
        <v>6.2E-4</v>
      </c>
      <c r="M134" s="103" t="s">
        <v>35</v>
      </c>
      <c r="X134" s="77">
        <f>IF(AO134="5",BH134,0)</f>
        <v>0</v>
      </c>
      <c r="Z134" s="77">
        <f>IF(AO134="1",BF134,0)</f>
        <v>0</v>
      </c>
      <c r="AA134" s="77">
        <f>IF(AO134="1",BG134,0)</f>
        <v>0</v>
      </c>
      <c r="AB134" s="77">
        <f>IF(AO134="7",BF134,0)</f>
        <v>0</v>
      </c>
      <c r="AC134" s="77">
        <f>IF(AO134="7",BG134,0)</f>
        <v>0</v>
      </c>
      <c r="AD134" s="77">
        <f>IF(AO134="2",BF134,0)</f>
        <v>0</v>
      </c>
      <c r="AE134" s="77">
        <f>IF(AO134="2",BG134,0)</f>
        <v>0</v>
      </c>
      <c r="AF134" s="77">
        <f>IF(AO134="0",BH134,0)</f>
        <v>0</v>
      </c>
      <c r="AG134" s="71" t="s">
        <v>129</v>
      </c>
      <c r="AH134" s="77">
        <f>IF(AL134=0,J134,0)</f>
        <v>0</v>
      </c>
      <c r="AI134" s="77">
        <f>IF(AL134=15,J134,0)</f>
        <v>0</v>
      </c>
      <c r="AJ134" s="77">
        <f>IF(AL134=21,J134,0)</f>
        <v>0</v>
      </c>
      <c r="AL134" s="77">
        <v>21</v>
      </c>
      <c r="AM134" s="77">
        <f>G134*0.310708995</f>
        <v>0</v>
      </c>
      <c r="AN134" s="77">
        <f>G134*(1-0.310708995)</f>
        <v>0</v>
      </c>
      <c r="AO134" s="79" t="s">
        <v>132</v>
      </c>
      <c r="AT134" s="77">
        <f>AU134+AV134</f>
        <v>0</v>
      </c>
      <c r="AU134" s="77">
        <f>F134*AM134</f>
        <v>0</v>
      </c>
      <c r="AV134" s="77">
        <f>F134*AN134</f>
        <v>0</v>
      </c>
      <c r="AW134" s="79" t="s">
        <v>535</v>
      </c>
      <c r="AX134" s="79" t="s">
        <v>320</v>
      </c>
      <c r="AY134" s="71" t="s">
        <v>137</v>
      </c>
      <c r="BA134" s="77">
        <f>AU134+AV134</f>
        <v>0</v>
      </c>
      <c r="BB134" s="77">
        <f>G134/(100-BC134)*100</f>
        <v>0</v>
      </c>
      <c r="BC134" s="77">
        <v>0</v>
      </c>
      <c r="BD134" s="77">
        <f>L134</f>
        <v>6.2E-4</v>
      </c>
      <c r="BF134" s="77">
        <f>F134*AM134</f>
        <v>0</v>
      </c>
      <c r="BG134" s="77">
        <f>F134*AN134</f>
        <v>0</v>
      </c>
      <c r="BH134" s="77">
        <f>F134*G134</f>
        <v>0</v>
      </c>
      <c r="BI134" s="77"/>
      <c r="BJ134" s="77">
        <v>85</v>
      </c>
      <c r="BU134" s="77" t="e">
        <f>#REF!</f>
        <v>#REF!</v>
      </c>
      <c r="BV134" s="70" t="s">
        <v>538</v>
      </c>
    </row>
    <row r="135" spans="1:74" ht="54" customHeight="1" x14ac:dyDescent="0.25">
      <c r="A135" s="104"/>
      <c r="B135" s="81" t="s">
        <v>138</v>
      </c>
      <c r="C135" s="303" t="s">
        <v>539</v>
      </c>
      <c r="D135" s="304"/>
      <c r="E135" s="304"/>
      <c r="F135" s="304"/>
      <c r="G135" s="304"/>
      <c r="H135" s="304"/>
      <c r="I135" s="304"/>
      <c r="J135" s="304"/>
      <c r="K135" s="304"/>
      <c r="L135" s="304"/>
      <c r="M135" s="305"/>
    </row>
    <row r="136" spans="1:74" x14ac:dyDescent="0.25">
      <c r="A136" s="92" t="s">
        <v>296</v>
      </c>
      <c r="B136" s="69" t="s">
        <v>542</v>
      </c>
      <c r="C136" s="306" t="s">
        <v>543</v>
      </c>
      <c r="D136" s="307"/>
      <c r="E136" s="69" t="s">
        <v>325</v>
      </c>
      <c r="F136" s="77">
        <v>3</v>
      </c>
      <c r="G136" s="218">
        <v>0</v>
      </c>
      <c r="H136" s="77">
        <f>F136*AM136</f>
        <v>0</v>
      </c>
      <c r="I136" s="77">
        <f>F136*AN136</f>
        <v>0</v>
      </c>
      <c r="J136" s="77">
        <f>F136*G136</f>
        <v>0</v>
      </c>
      <c r="K136" s="77">
        <v>4.0999999999999999E-4</v>
      </c>
      <c r="L136" s="77">
        <f>F136*K136</f>
        <v>1.23E-3</v>
      </c>
      <c r="M136" s="103" t="s">
        <v>35</v>
      </c>
      <c r="X136" s="77">
        <f>IF(AO136="5",BH136,0)</f>
        <v>0</v>
      </c>
      <c r="Z136" s="77">
        <f>IF(AO136="1",BF136,0)</f>
        <v>0</v>
      </c>
      <c r="AA136" s="77">
        <f>IF(AO136="1",BG136,0)</f>
        <v>0</v>
      </c>
      <c r="AB136" s="77">
        <f>IF(AO136="7",BF136,0)</f>
        <v>0</v>
      </c>
      <c r="AC136" s="77">
        <f>IF(AO136="7",BG136,0)</f>
        <v>0</v>
      </c>
      <c r="AD136" s="77">
        <f>IF(AO136="2",BF136,0)</f>
        <v>0</v>
      </c>
      <c r="AE136" s="77">
        <f>IF(AO136="2",BG136,0)</f>
        <v>0</v>
      </c>
      <c r="AF136" s="77">
        <f>IF(AO136="0",BH136,0)</f>
        <v>0</v>
      </c>
      <c r="AG136" s="71" t="s">
        <v>129</v>
      </c>
      <c r="AH136" s="77">
        <f>IF(AL136=0,J136,0)</f>
        <v>0</v>
      </c>
      <c r="AI136" s="77">
        <f>IF(AL136=15,J136,0)</f>
        <v>0</v>
      </c>
      <c r="AJ136" s="77">
        <f>IF(AL136=21,J136,0)</f>
        <v>0</v>
      </c>
      <c r="AL136" s="77">
        <v>21</v>
      </c>
      <c r="AM136" s="77">
        <f>G136*0.303018576</f>
        <v>0</v>
      </c>
      <c r="AN136" s="77">
        <f>G136*(1-0.303018576)</f>
        <v>0</v>
      </c>
      <c r="AO136" s="79" t="s">
        <v>132</v>
      </c>
      <c r="AT136" s="77">
        <f>AU136+AV136</f>
        <v>0</v>
      </c>
      <c r="AU136" s="77">
        <f>F136*AM136</f>
        <v>0</v>
      </c>
      <c r="AV136" s="77">
        <f>F136*AN136</f>
        <v>0</v>
      </c>
      <c r="AW136" s="79" t="s">
        <v>535</v>
      </c>
      <c r="AX136" s="79" t="s">
        <v>320</v>
      </c>
      <c r="AY136" s="71" t="s">
        <v>137</v>
      </c>
      <c r="BA136" s="77">
        <f>AU136+AV136</f>
        <v>0</v>
      </c>
      <c r="BB136" s="77">
        <f>G136/(100-BC136)*100</f>
        <v>0</v>
      </c>
      <c r="BC136" s="77">
        <v>0</v>
      </c>
      <c r="BD136" s="77">
        <f>L136</f>
        <v>1.23E-3</v>
      </c>
      <c r="BF136" s="77">
        <f>F136*AM136</f>
        <v>0</v>
      </c>
      <c r="BG136" s="77">
        <f>F136*AN136</f>
        <v>0</v>
      </c>
      <c r="BH136" s="77">
        <f>F136*G136</f>
        <v>0</v>
      </c>
      <c r="BI136" s="77"/>
      <c r="BJ136" s="77">
        <v>85</v>
      </c>
      <c r="BU136" s="77" t="e">
        <f>#REF!</f>
        <v>#REF!</v>
      </c>
      <c r="BV136" s="70" t="s">
        <v>543</v>
      </c>
    </row>
    <row r="137" spans="1:74" ht="40.5" customHeight="1" x14ac:dyDescent="0.25">
      <c r="A137" s="104"/>
      <c r="B137" s="81" t="s">
        <v>138</v>
      </c>
      <c r="C137" s="303" t="s">
        <v>544</v>
      </c>
      <c r="D137" s="304"/>
      <c r="E137" s="304"/>
      <c r="F137" s="304"/>
      <c r="G137" s="304"/>
      <c r="H137" s="304"/>
      <c r="I137" s="304"/>
      <c r="J137" s="304"/>
      <c r="K137" s="304"/>
      <c r="L137" s="304"/>
      <c r="M137" s="305"/>
    </row>
    <row r="138" spans="1:74" x14ac:dyDescent="0.25">
      <c r="A138" s="92" t="s">
        <v>403</v>
      </c>
      <c r="B138" s="69" t="s">
        <v>540</v>
      </c>
      <c r="C138" s="306" t="s">
        <v>541</v>
      </c>
      <c r="D138" s="307"/>
      <c r="E138" s="69" t="s">
        <v>325</v>
      </c>
      <c r="F138" s="77">
        <v>5</v>
      </c>
      <c r="G138" s="218">
        <v>0</v>
      </c>
      <c r="H138" s="77">
        <f>F138*AM138</f>
        <v>0</v>
      </c>
      <c r="I138" s="77">
        <f>F138*AN138</f>
        <v>0</v>
      </c>
      <c r="J138" s="77">
        <f>F138*G138</f>
        <v>0</v>
      </c>
      <c r="K138" s="77">
        <v>2.2000000000000001E-4</v>
      </c>
      <c r="L138" s="77">
        <f>F138*K138</f>
        <v>1.1000000000000001E-3</v>
      </c>
      <c r="M138" s="103" t="s">
        <v>35</v>
      </c>
      <c r="X138" s="77">
        <f>IF(AO138="5",BH138,0)</f>
        <v>0</v>
      </c>
      <c r="Z138" s="77">
        <f>IF(AO138="1",BF138,0)</f>
        <v>0</v>
      </c>
      <c r="AA138" s="77">
        <f>IF(AO138="1",BG138,0)</f>
        <v>0</v>
      </c>
      <c r="AB138" s="77">
        <f>IF(AO138="7",BF138,0)</f>
        <v>0</v>
      </c>
      <c r="AC138" s="77">
        <f>IF(AO138="7",BG138,0)</f>
        <v>0</v>
      </c>
      <c r="AD138" s="77">
        <f>IF(AO138="2",BF138,0)</f>
        <v>0</v>
      </c>
      <c r="AE138" s="77">
        <f>IF(AO138="2",BG138,0)</f>
        <v>0</v>
      </c>
      <c r="AF138" s="77">
        <f>IF(AO138="0",BH138,0)</f>
        <v>0</v>
      </c>
      <c r="AG138" s="71" t="s">
        <v>129</v>
      </c>
      <c r="AH138" s="77">
        <f>IF(AL138=0,J138,0)</f>
        <v>0</v>
      </c>
      <c r="AI138" s="77">
        <f>IF(AL138=15,J138,0)</f>
        <v>0</v>
      </c>
      <c r="AJ138" s="77">
        <f>IF(AL138=21,J138,0)</f>
        <v>0</v>
      </c>
      <c r="AL138" s="77">
        <v>21</v>
      </c>
      <c r="AM138" s="77">
        <f>G138*0.209617338</f>
        <v>0</v>
      </c>
      <c r="AN138" s="77">
        <f>G138*(1-0.209617338)</f>
        <v>0</v>
      </c>
      <c r="AO138" s="79" t="s">
        <v>132</v>
      </c>
      <c r="AT138" s="77">
        <f>AU138+AV138</f>
        <v>0</v>
      </c>
      <c r="AU138" s="77">
        <f>F138*AM138</f>
        <v>0</v>
      </c>
      <c r="AV138" s="77">
        <f>F138*AN138</f>
        <v>0</v>
      </c>
      <c r="AW138" s="79" t="s">
        <v>535</v>
      </c>
      <c r="AX138" s="79" t="s">
        <v>320</v>
      </c>
      <c r="AY138" s="71" t="s">
        <v>137</v>
      </c>
      <c r="BA138" s="77">
        <f>AU138+AV138</f>
        <v>0</v>
      </c>
      <c r="BB138" s="77">
        <f>G138/(100-BC138)*100</f>
        <v>0</v>
      </c>
      <c r="BC138" s="77">
        <v>0</v>
      </c>
      <c r="BD138" s="77">
        <f>L138</f>
        <v>1.1000000000000001E-3</v>
      </c>
      <c r="BF138" s="77">
        <f>F138*AM138</f>
        <v>0</v>
      </c>
      <c r="BG138" s="77">
        <f>F138*AN138</f>
        <v>0</v>
      </c>
      <c r="BH138" s="77">
        <f>F138*G138</f>
        <v>0</v>
      </c>
      <c r="BI138" s="77"/>
      <c r="BJ138" s="77">
        <v>85</v>
      </c>
      <c r="BU138" s="77" t="e">
        <f>#REF!</f>
        <v>#REF!</v>
      </c>
      <c r="BV138" s="70" t="s">
        <v>541</v>
      </c>
    </row>
    <row r="139" spans="1:74" ht="40.5" customHeight="1" x14ac:dyDescent="0.25">
      <c r="A139" s="104"/>
      <c r="B139" s="81" t="s">
        <v>138</v>
      </c>
      <c r="C139" s="303" t="s">
        <v>544</v>
      </c>
      <c r="D139" s="304"/>
      <c r="E139" s="304"/>
      <c r="F139" s="304"/>
      <c r="G139" s="304"/>
      <c r="H139" s="304"/>
      <c r="I139" s="304"/>
      <c r="J139" s="304"/>
      <c r="K139" s="304"/>
      <c r="L139" s="304"/>
      <c r="M139" s="305"/>
    </row>
    <row r="140" spans="1:74" x14ac:dyDescent="0.25">
      <c r="A140" s="105" t="s">
        <v>129</v>
      </c>
      <c r="B140" s="74" t="s">
        <v>335</v>
      </c>
      <c r="C140" s="314" t="s">
        <v>336</v>
      </c>
      <c r="D140" s="315"/>
      <c r="E140" s="75" t="s">
        <v>87</v>
      </c>
      <c r="F140" s="75" t="s">
        <v>87</v>
      </c>
      <c r="G140" s="75" t="s">
        <v>87</v>
      </c>
      <c r="H140" s="67">
        <f>SUM(H141:H153)</f>
        <v>0</v>
      </c>
      <c r="I140" s="67">
        <f>SUM(I141:I153)</f>
        <v>0</v>
      </c>
      <c r="J140" s="67">
        <f>SUM(J141:J153)</f>
        <v>0</v>
      </c>
      <c r="K140" s="71" t="s">
        <v>129</v>
      </c>
      <c r="L140" s="67">
        <f>SUM(L141:L153)</f>
        <v>0.33678000000000002</v>
      </c>
      <c r="M140" s="106" t="s">
        <v>129</v>
      </c>
      <c r="AG140" s="71" t="s">
        <v>129</v>
      </c>
      <c r="AQ140" s="67">
        <f>SUM(AH141:AH153)</f>
        <v>0</v>
      </c>
      <c r="AR140" s="67">
        <f>SUM(AI141:AI153)</f>
        <v>0</v>
      </c>
      <c r="AS140" s="67">
        <f>SUM(AJ141:AJ153)</f>
        <v>0</v>
      </c>
    </row>
    <row r="141" spans="1:74" x14ac:dyDescent="0.25">
      <c r="A141" s="92" t="s">
        <v>407</v>
      </c>
      <c r="B141" s="69" t="s">
        <v>545</v>
      </c>
      <c r="C141" s="306" t="s">
        <v>546</v>
      </c>
      <c r="D141" s="307"/>
      <c r="E141" s="69" t="s">
        <v>145</v>
      </c>
      <c r="F141" s="77">
        <v>12.4</v>
      </c>
      <c r="G141" s="218">
        <v>0</v>
      </c>
      <c r="H141" s="77">
        <f>F141*AM141</f>
        <v>0</v>
      </c>
      <c r="I141" s="77">
        <f>F141*AN141</f>
        <v>0</v>
      </c>
      <c r="J141" s="77">
        <f>F141*G141</f>
        <v>0</v>
      </c>
      <c r="K141" s="77">
        <v>0</v>
      </c>
      <c r="L141" s="77">
        <f>F141*K141</f>
        <v>0</v>
      </c>
      <c r="M141" s="103" t="s">
        <v>35</v>
      </c>
      <c r="X141" s="77">
        <f>IF(AO141="5",BH141,0)</f>
        <v>0</v>
      </c>
      <c r="Z141" s="77">
        <f>IF(AO141="1",BF141,0)</f>
        <v>0</v>
      </c>
      <c r="AA141" s="77">
        <f>IF(AO141="1",BG141,0)</f>
        <v>0</v>
      </c>
      <c r="AB141" s="77">
        <f>IF(AO141="7",BF141,0)</f>
        <v>0</v>
      </c>
      <c r="AC141" s="77">
        <f>IF(AO141="7",BG141,0)</f>
        <v>0</v>
      </c>
      <c r="AD141" s="77">
        <f>IF(AO141="2",BF141,0)</f>
        <v>0</v>
      </c>
      <c r="AE141" s="77">
        <f>IF(AO141="2",BG141,0)</f>
        <v>0</v>
      </c>
      <c r="AF141" s="77">
        <f>IF(AO141="0",BH141,0)</f>
        <v>0</v>
      </c>
      <c r="AG141" s="71" t="s">
        <v>129</v>
      </c>
      <c r="AH141" s="77">
        <f>IF(AL141=0,J141,0)</f>
        <v>0</v>
      </c>
      <c r="AI141" s="77">
        <f>IF(AL141=15,J141,0)</f>
        <v>0</v>
      </c>
      <c r="AJ141" s="77">
        <f>IF(AL141=21,J141,0)</f>
        <v>0</v>
      </c>
      <c r="AL141" s="77">
        <v>21</v>
      </c>
      <c r="AM141" s="77">
        <f>G141*0.024710425</f>
        <v>0</v>
      </c>
      <c r="AN141" s="77">
        <f>G141*(1-0.024710425)</f>
        <v>0</v>
      </c>
      <c r="AO141" s="79" t="s">
        <v>132</v>
      </c>
      <c r="AT141" s="77">
        <f>AU141+AV141</f>
        <v>0</v>
      </c>
      <c r="AU141" s="77">
        <f>F141*AM141</f>
        <v>0</v>
      </c>
      <c r="AV141" s="77">
        <f>F141*AN141</f>
        <v>0</v>
      </c>
      <c r="AW141" s="79" t="s">
        <v>340</v>
      </c>
      <c r="AX141" s="79" t="s">
        <v>320</v>
      </c>
      <c r="AY141" s="71" t="s">
        <v>137</v>
      </c>
      <c r="BA141" s="77">
        <f>AU141+AV141</f>
        <v>0</v>
      </c>
      <c r="BB141" s="77">
        <f>G141/(100-BC141)*100</f>
        <v>0</v>
      </c>
      <c r="BC141" s="77">
        <v>0</v>
      </c>
      <c r="BD141" s="77">
        <f>L141</f>
        <v>0</v>
      </c>
      <c r="BF141" s="77">
        <f>F141*AM141</f>
        <v>0</v>
      </c>
      <c r="BG141" s="77">
        <f>F141*AN141</f>
        <v>0</v>
      </c>
      <c r="BH141" s="77">
        <f>F141*G141</f>
        <v>0</v>
      </c>
      <c r="BI141" s="77"/>
      <c r="BJ141" s="77">
        <v>89</v>
      </c>
      <c r="BU141" s="77" t="e">
        <f>#REF!</f>
        <v>#REF!</v>
      </c>
      <c r="BV141" s="70" t="s">
        <v>546</v>
      </c>
    </row>
    <row r="142" spans="1:74" ht="40.5" customHeight="1" x14ac:dyDescent="0.25">
      <c r="A142" s="104"/>
      <c r="B142" s="81" t="s">
        <v>138</v>
      </c>
      <c r="C142" s="303" t="s">
        <v>793</v>
      </c>
      <c r="D142" s="304"/>
      <c r="E142" s="304"/>
      <c r="F142" s="304"/>
      <c r="G142" s="304"/>
      <c r="H142" s="304"/>
      <c r="I142" s="304"/>
      <c r="J142" s="304"/>
      <c r="K142" s="304"/>
      <c r="L142" s="304"/>
      <c r="M142" s="305"/>
    </row>
    <row r="143" spans="1:74" x14ac:dyDescent="0.25">
      <c r="A143" s="92" t="s">
        <v>410</v>
      </c>
      <c r="B143" s="69" t="s">
        <v>548</v>
      </c>
      <c r="C143" s="306" t="s">
        <v>549</v>
      </c>
      <c r="D143" s="307"/>
      <c r="E143" s="69" t="s">
        <v>145</v>
      </c>
      <c r="F143" s="77">
        <v>12.4</v>
      </c>
      <c r="G143" s="218">
        <v>0</v>
      </c>
      <c r="H143" s="77">
        <f>F143*AM143</f>
        <v>0</v>
      </c>
      <c r="I143" s="77">
        <f>F143*AN143</f>
        <v>0</v>
      </c>
      <c r="J143" s="77">
        <f>F143*G143</f>
        <v>0</v>
      </c>
      <c r="K143" s="77">
        <v>0</v>
      </c>
      <c r="L143" s="77">
        <f>F143*K143</f>
        <v>0</v>
      </c>
      <c r="M143" s="103" t="s">
        <v>35</v>
      </c>
      <c r="X143" s="77">
        <f>IF(AO143="5",BH143,0)</f>
        <v>0</v>
      </c>
      <c r="Z143" s="77">
        <f>IF(AO143="1",BF143,0)</f>
        <v>0</v>
      </c>
      <c r="AA143" s="77">
        <f>IF(AO143="1",BG143,0)</f>
        <v>0</v>
      </c>
      <c r="AB143" s="77">
        <f>IF(AO143="7",BF143,0)</f>
        <v>0</v>
      </c>
      <c r="AC143" s="77">
        <f>IF(AO143="7",BG143,0)</f>
        <v>0</v>
      </c>
      <c r="AD143" s="77">
        <f>IF(AO143="2",BF143,0)</f>
        <v>0</v>
      </c>
      <c r="AE143" s="77">
        <f>IF(AO143="2",BG143,0)</f>
        <v>0</v>
      </c>
      <c r="AF143" s="77">
        <f>IF(AO143="0",BH143,0)</f>
        <v>0</v>
      </c>
      <c r="AG143" s="71" t="s">
        <v>129</v>
      </c>
      <c r="AH143" s="77">
        <f>IF(AL143=0,J143,0)</f>
        <v>0</v>
      </c>
      <c r="AI143" s="77">
        <f>IF(AL143=15,J143,0)</f>
        <v>0</v>
      </c>
      <c r="AJ143" s="77">
        <f>IF(AL143=21,J143,0)</f>
        <v>0</v>
      </c>
      <c r="AL143" s="77">
        <v>21</v>
      </c>
      <c r="AM143" s="77">
        <f>G143*0.02512</f>
        <v>0</v>
      </c>
      <c r="AN143" s="77">
        <f>G143*(1-0.02512)</f>
        <v>0</v>
      </c>
      <c r="AO143" s="79" t="s">
        <v>132</v>
      </c>
      <c r="AT143" s="77">
        <f>AU143+AV143</f>
        <v>0</v>
      </c>
      <c r="AU143" s="77">
        <f>F143*AM143</f>
        <v>0</v>
      </c>
      <c r="AV143" s="77">
        <f>F143*AN143</f>
        <v>0</v>
      </c>
      <c r="AW143" s="79" t="s">
        <v>340</v>
      </c>
      <c r="AX143" s="79" t="s">
        <v>320</v>
      </c>
      <c r="AY143" s="71" t="s">
        <v>137</v>
      </c>
      <c r="BA143" s="77">
        <f>AU143+AV143</f>
        <v>0</v>
      </c>
      <c r="BB143" s="77">
        <f>G143/(100-BC143)*100</f>
        <v>0</v>
      </c>
      <c r="BC143" s="77">
        <v>0</v>
      </c>
      <c r="BD143" s="77">
        <f>L143</f>
        <v>0</v>
      </c>
      <c r="BF143" s="77">
        <f>F143*AM143</f>
        <v>0</v>
      </c>
      <c r="BG143" s="77">
        <f>F143*AN143</f>
        <v>0</v>
      </c>
      <c r="BH143" s="77">
        <f>F143*G143</f>
        <v>0</v>
      </c>
      <c r="BI143" s="77"/>
      <c r="BJ143" s="77">
        <v>89</v>
      </c>
      <c r="BU143" s="77" t="e">
        <f>#REF!</f>
        <v>#REF!</v>
      </c>
      <c r="BV143" s="70" t="s">
        <v>549</v>
      </c>
    </row>
    <row r="144" spans="1:74" ht="40.5" customHeight="1" x14ac:dyDescent="0.25">
      <c r="A144" s="104"/>
      <c r="B144" s="81" t="s">
        <v>138</v>
      </c>
      <c r="C144" s="303" t="s">
        <v>794</v>
      </c>
      <c r="D144" s="304"/>
      <c r="E144" s="304"/>
      <c r="F144" s="304"/>
      <c r="G144" s="304"/>
      <c r="H144" s="304"/>
      <c r="I144" s="304"/>
      <c r="J144" s="304"/>
      <c r="K144" s="304"/>
      <c r="L144" s="304"/>
      <c r="M144" s="305"/>
    </row>
    <row r="145" spans="1:74" x14ac:dyDescent="0.25">
      <c r="A145" s="92" t="s">
        <v>415</v>
      </c>
      <c r="B145" s="69" t="s">
        <v>375</v>
      </c>
      <c r="C145" s="306" t="s">
        <v>376</v>
      </c>
      <c r="D145" s="307"/>
      <c r="E145" s="69" t="s">
        <v>145</v>
      </c>
      <c r="F145" s="77">
        <v>13.64</v>
      </c>
      <c r="G145" s="218">
        <v>0</v>
      </c>
      <c r="H145" s="77">
        <f>F145*AM145</f>
        <v>0</v>
      </c>
      <c r="I145" s="77">
        <f>F145*AN145</f>
        <v>0</v>
      </c>
      <c r="J145" s="77">
        <f>F145*G145</f>
        <v>0</v>
      </c>
      <c r="K145" s="77">
        <v>0</v>
      </c>
      <c r="L145" s="77">
        <f>F145*K145</f>
        <v>0</v>
      </c>
      <c r="M145" s="103" t="s">
        <v>35</v>
      </c>
      <c r="X145" s="77">
        <f>IF(AO145="5",BH145,0)</f>
        <v>0</v>
      </c>
      <c r="Z145" s="77">
        <f>IF(AO145="1",BF145,0)</f>
        <v>0</v>
      </c>
      <c r="AA145" s="77">
        <f>IF(AO145="1",BG145,0)</f>
        <v>0</v>
      </c>
      <c r="AB145" s="77">
        <f>IF(AO145="7",BF145,0)</f>
        <v>0</v>
      </c>
      <c r="AC145" s="77">
        <f>IF(AO145="7",BG145,0)</f>
        <v>0</v>
      </c>
      <c r="AD145" s="77">
        <f>IF(AO145="2",BF145,0)</f>
        <v>0</v>
      </c>
      <c r="AE145" s="77">
        <f>IF(AO145="2",BG145,0)</f>
        <v>0</v>
      </c>
      <c r="AF145" s="77">
        <f>IF(AO145="0",BH145,0)</f>
        <v>0</v>
      </c>
      <c r="AG145" s="71" t="s">
        <v>129</v>
      </c>
      <c r="AH145" s="77">
        <f>IF(AL145=0,J145,0)</f>
        <v>0</v>
      </c>
      <c r="AI145" s="77">
        <f>IF(AL145=15,J145,0)</f>
        <v>0</v>
      </c>
      <c r="AJ145" s="77">
        <f>IF(AL145=21,J145,0)</f>
        <v>0</v>
      </c>
      <c r="AL145" s="77">
        <v>21</v>
      </c>
      <c r="AM145" s="77">
        <f>G145*0.352744411</f>
        <v>0</v>
      </c>
      <c r="AN145" s="77">
        <f>G145*(1-0.352744411)</f>
        <v>0</v>
      </c>
      <c r="AO145" s="79" t="s">
        <v>132</v>
      </c>
      <c r="AT145" s="77">
        <f>AU145+AV145</f>
        <v>0</v>
      </c>
      <c r="AU145" s="77">
        <f>F145*AM145</f>
        <v>0</v>
      </c>
      <c r="AV145" s="77">
        <f>F145*AN145</f>
        <v>0</v>
      </c>
      <c r="AW145" s="79" t="s">
        <v>340</v>
      </c>
      <c r="AX145" s="79" t="s">
        <v>320</v>
      </c>
      <c r="AY145" s="71" t="s">
        <v>137</v>
      </c>
      <c r="BA145" s="77">
        <f>AU145+AV145</f>
        <v>0</v>
      </c>
      <c r="BB145" s="77">
        <f>G145/(100-BC145)*100</f>
        <v>0</v>
      </c>
      <c r="BC145" s="77">
        <v>0</v>
      </c>
      <c r="BD145" s="77">
        <f>L145</f>
        <v>0</v>
      </c>
      <c r="BF145" s="77">
        <f>F145*AM145</f>
        <v>0</v>
      </c>
      <c r="BG145" s="77">
        <f>F145*AN145</f>
        <v>0</v>
      </c>
      <c r="BH145" s="77">
        <f>F145*G145</f>
        <v>0</v>
      </c>
      <c r="BI145" s="77"/>
      <c r="BJ145" s="77">
        <v>89</v>
      </c>
      <c r="BU145" s="77" t="e">
        <f>#REF!</f>
        <v>#REF!</v>
      </c>
      <c r="BV145" s="70" t="s">
        <v>376</v>
      </c>
    </row>
    <row r="146" spans="1:74" ht="40.5" customHeight="1" thickBot="1" x14ac:dyDescent="0.3">
      <c r="A146" s="107"/>
      <c r="B146" s="108" t="s">
        <v>138</v>
      </c>
      <c r="C146" s="308" t="s">
        <v>795</v>
      </c>
      <c r="D146" s="309"/>
      <c r="E146" s="309"/>
      <c r="F146" s="309"/>
      <c r="G146" s="309"/>
      <c r="H146" s="309"/>
      <c r="I146" s="309"/>
      <c r="J146" s="309"/>
      <c r="K146" s="309"/>
      <c r="L146" s="309"/>
      <c r="M146" s="310"/>
    </row>
    <row r="147" spans="1:74" x14ac:dyDescent="0.25">
      <c r="A147" s="122" t="s">
        <v>419</v>
      </c>
      <c r="B147" s="109" t="s">
        <v>552</v>
      </c>
      <c r="C147" s="312" t="s">
        <v>553</v>
      </c>
      <c r="D147" s="313"/>
      <c r="E147" s="109" t="s">
        <v>325</v>
      </c>
      <c r="F147" s="123">
        <v>1</v>
      </c>
      <c r="G147" s="219">
        <v>0</v>
      </c>
      <c r="H147" s="123">
        <f>F147*AM147</f>
        <v>0</v>
      </c>
      <c r="I147" s="123">
        <f>F147*AN147</f>
        <v>0</v>
      </c>
      <c r="J147" s="123">
        <f>F147*G147</f>
        <v>0</v>
      </c>
      <c r="K147" s="123">
        <v>2.1000000000000001E-4</v>
      </c>
      <c r="L147" s="123">
        <f>F147*K147</f>
        <v>2.1000000000000001E-4</v>
      </c>
      <c r="M147" s="124" t="s">
        <v>35</v>
      </c>
      <c r="X147" s="77">
        <f>IF(AO147="5",BH147,0)</f>
        <v>0</v>
      </c>
      <c r="Z147" s="77">
        <f>IF(AO147="1",BF147,0)</f>
        <v>0</v>
      </c>
      <c r="AA147" s="77">
        <f>IF(AO147="1",BG147,0)</f>
        <v>0</v>
      </c>
      <c r="AB147" s="77">
        <f>IF(AO147="7",BF147,0)</f>
        <v>0</v>
      </c>
      <c r="AC147" s="77">
        <f>IF(AO147="7",BG147,0)</f>
        <v>0</v>
      </c>
      <c r="AD147" s="77">
        <f>IF(AO147="2",BF147,0)</f>
        <v>0</v>
      </c>
      <c r="AE147" s="77">
        <f>IF(AO147="2",BG147,0)</f>
        <v>0</v>
      </c>
      <c r="AF147" s="77">
        <f>IF(AO147="0",BH147,0)</f>
        <v>0</v>
      </c>
      <c r="AG147" s="71" t="s">
        <v>129</v>
      </c>
      <c r="AH147" s="77">
        <f>IF(AL147=0,J147,0)</f>
        <v>0</v>
      </c>
      <c r="AI147" s="77">
        <f>IF(AL147=15,J147,0)</f>
        <v>0</v>
      </c>
      <c r="AJ147" s="77">
        <f>IF(AL147=21,J147,0)</f>
        <v>0</v>
      </c>
      <c r="AL147" s="77">
        <v>21</v>
      </c>
      <c r="AM147" s="77">
        <f>G147*0.336476868</f>
        <v>0</v>
      </c>
      <c r="AN147" s="77">
        <f>G147*(1-0.336476868)</f>
        <v>0</v>
      </c>
      <c r="AO147" s="79" t="s">
        <v>132</v>
      </c>
      <c r="AT147" s="77">
        <f>AU147+AV147</f>
        <v>0</v>
      </c>
      <c r="AU147" s="77">
        <f>F147*AM147</f>
        <v>0</v>
      </c>
      <c r="AV147" s="77">
        <f>F147*AN147</f>
        <v>0</v>
      </c>
      <c r="AW147" s="79" t="s">
        <v>340</v>
      </c>
      <c r="AX147" s="79" t="s">
        <v>320</v>
      </c>
      <c r="AY147" s="71" t="s">
        <v>137</v>
      </c>
      <c r="BA147" s="77">
        <f>AU147+AV147</f>
        <v>0</v>
      </c>
      <c r="BB147" s="77">
        <f>G147/(100-BC147)*100</f>
        <v>0</v>
      </c>
      <c r="BC147" s="77">
        <v>0</v>
      </c>
      <c r="BD147" s="77">
        <f>L147</f>
        <v>2.1000000000000001E-4</v>
      </c>
      <c r="BF147" s="77">
        <f>F147*AM147</f>
        <v>0</v>
      </c>
      <c r="BG147" s="77">
        <f>F147*AN147</f>
        <v>0</v>
      </c>
      <c r="BH147" s="77">
        <f>F147*G147</f>
        <v>0</v>
      </c>
      <c r="BI147" s="77"/>
      <c r="BJ147" s="77">
        <v>89</v>
      </c>
      <c r="BU147" s="77" t="e">
        <f>#REF!</f>
        <v>#REF!</v>
      </c>
      <c r="BV147" s="70" t="s">
        <v>553</v>
      </c>
    </row>
    <row r="148" spans="1:74" ht="27" customHeight="1" x14ac:dyDescent="0.25">
      <c r="A148" s="104"/>
      <c r="B148" s="81" t="s">
        <v>138</v>
      </c>
      <c r="C148" s="303" t="s">
        <v>554</v>
      </c>
      <c r="D148" s="304"/>
      <c r="E148" s="304"/>
      <c r="F148" s="304"/>
      <c r="G148" s="304"/>
      <c r="H148" s="304"/>
      <c r="I148" s="304"/>
      <c r="J148" s="304"/>
      <c r="K148" s="304"/>
      <c r="L148" s="304"/>
      <c r="M148" s="305"/>
    </row>
    <row r="149" spans="1:74" x14ac:dyDescent="0.25">
      <c r="A149" s="92" t="s">
        <v>421</v>
      </c>
      <c r="B149" s="69" t="s">
        <v>555</v>
      </c>
      <c r="C149" s="306" t="s">
        <v>556</v>
      </c>
      <c r="D149" s="307"/>
      <c r="E149" s="69" t="s">
        <v>325</v>
      </c>
      <c r="F149" s="77">
        <v>3</v>
      </c>
      <c r="G149" s="218">
        <v>0</v>
      </c>
      <c r="H149" s="77">
        <f>F149*AM149</f>
        <v>0</v>
      </c>
      <c r="I149" s="77">
        <f>F149*AN149</f>
        <v>0</v>
      </c>
      <c r="J149" s="77">
        <f>F149*G149</f>
        <v>0</v>
      </c>
      <c r="K149" s="77">
        <v>4.0999999999999999E-4</v>
      </c>
      <c r="L149" s="77">
        <f>F149*K149</f>
        <v>1.23E-3</v>
      </c>
      <c r="M149" s="103" t="s">
        <v>35</v>
      </c>
      <c r="X149" s="77">
        <f>IF(AO149="5",BH149,0)</f>
        <v>0</v>
      </c>
      <c r="Z149" s="77">
        <f>IF(AO149="1",BF149,0)</f>
        <v>0</v>
      </c>
      <c r="AA149" s="77">
        <f>IF(AO149="1",BG149,0)</f>
        <v>0</v>
      </c>
      <c r="AB149" s="77">
        <f>IF(AO149="7",BF149,0)</f>
        <v>0</v>
      </c>
      <c r="AC149" s="77">
        <f>IF(AO149="7",BG149,0)</f>
        <v>0</v>
      </c>
      <c r="AD149" s="77">
        <f>IF(AO149="2",BF149,0)</f>
        <v>0</v>
      </c>
      <c r="AE149" s="77">
        <f>IF(AO149="2",BG149,0)</f>
        <v>0</v>
      </c>
      <c r="AF149" s="77">
        <f>IF(AO149="0",BH149,0)</f>
        <v>0</v>
      </c>
      <c r="AG149" s="71" t="s">
        <v>129</v>
      </c>
      <c r="AH149" s="77">
        <f>IF(AL149=0,J149,0)</f>
        <v>0</v>
      </c>
      <c r="AI149" s="77">
        <f>IF(AL149=15,J149,0)</f>
        <v>0</v>
      </c>
      <c r="AJ149" s="77">
        <f>IF(AL149=21,J149,0)</f>
        <v>0</v>
      </c>
      <c r="AL149" s="77">
        <v>21</v>
      </c>
      <c r="AM149" s="77">
        <f>G149*0.158887987</f>
        <v>0</v>
      </c>
      <c r="AN149" s="77">
        <f>G149*(1-0.158887987)</f>
        <v>0</v>
      </c>
      <c r="AO149" s="79" t="s">
        <v>132</v>
      </c>
      <c r="AT149" s="77">
        <f>AU149+AV149</f>
        <v>0</v>
      </c>
      <c r="AU149" s="77">
        <f>F149*AM149</f>
        <v>0</v>
      </c>
      <c r="AV149" s="77">
        <f>F149*AN149</f>
        <v>0</v>
      </c>
      <c r="AW149" s="79" t="s">
        <v>340</v>
      </c>
      <c r="AX149" s="79" t="s">
        <v>320</v>
      </c>
      <c r="AY149" s="71" t="s">
        <v>137</v>
      </c>
      <c r="BA149" s="77">
        <f>AU149+AV149</f>
        <v>0</v>
      </c>
      <c r="BB149" s="77">
        <f>G149/(100-BC149)*100</f>
        <v>0</v>
      </c>
      <c r="BC149" s="77">
        <v>0</v>
      </c>
      <c r="BD149" s="77">
        <f>L149</f>
        <v>1.23E-3</v>
      </c>
      <c r="BF149" s="77">
        <f>F149*AM149</f>
        <v>0</v>
      </c>
      <c r="BG149" s="77">
        <f>F149*AN149</f>
        <v>0</v>
      </c>
      <c r="BH149" s="77">
        <f>F149*G149</f>
        <v>0</v>
      </c>
      <c r="BI149" s="77"/>
      <c r="BJ149" s="77">
        <v>89</v>
      </c>
      <c r="BU149" s="77" t="e">
        <f>#REF!</f>
        <v>#REF!</v>
      </c>
      <c r="BV149" s="70" t="s">
        <v>556</v>
      </c>
    </row>
    <row r="150" spans="1:74" ht="13.5" customHeight="1" x14ac:dyDescent="0.25">
      <c r="A150" s="104"/>
      <c r="B150" s="81" t="s">
        <v>138</v>
      </c>
      <c r="C150" s="303" t="s">
        <v>557</v>
      </c>
      <c r="D150" s="304"/>
      <c r="E150" s="304"/>
      <c r="F150" s="304"/>
      <c r="G150" s="304"/>
      <c r="H150" s="304"/>
      <c r="I150" s="304"/>
      <c r="J150" s="304"/>
      <c r="K150" s="304"/>
      <c r="L150" s="304"/>
      <c r="M150" s="305"/>
    </row>
    <row r="151" spans="1:74" x14ac:dyDescent="0.25">
      <c r="A151" s="92" t="s">
        <v>425</v>
      </c>
      <c r="B151" s="69" t="s">
        <v>560</v>
      </c>
      <c r="C151" s="306" t="s">
        <v>561</v>
      </c>
      <c r="D151" s="307"/>
      <c r="E151" s="69" t="s">
        <v>325</v>
      </c>
      <c r="F151" s="77">
        <v>3</v>
      </c>
      <c r="G151" s="218">
        <v>0</v>
      </c>
      <c r="H151" s="77">
        <f>F151*AM151</f>
        <v>0</v>
      </c>
      <c r="I151" s="77">
        <f>F151*AN151</f>
        <v>0</v>
      </c>
      <c r="J151" s="77">
        <f>F151*G151</f>
        <v>0</v>
      </c>
      <c r="K151" s="77">
        <v>0.11178</v>
      </c>
      <c r="L151" s="77">
        <f>F151*K151</f>
        <v>0.33534000000000003</v>
      </c>
      <c r="M151" s="103" t="s">
        <v>35</v>
      </c>
      <c r="X151" s="77">
        <f>IF(AO151="5",BH151,0)</f>
        <v>0</v>
      </c>
      <c r="Z151" s="77">
        <f>IF(AO151="1",BF151,0)</f>
        <v>0</v>
      </c>
      <c r="AA151" s="77">
        <f>IF(AO151="1",BG151,0)</f>
        <v>0</v>
      </c>
      <c r="AB151" s="77">
        <f>IF(AO151="7",BF151,0)</f>
        <v>0</v>
      </c>
      <c r="AC151" s="77">
        <f>IF(AO151="7",BG151,0)</f>
        <v>0</v>
      </c>
      <c r="AD151" s="77">
        <f>IF(AO151="2",BF151,0)</f>
        <v>0</v>
      </c>
      <c r="AE151" s="77">
        <f>IF(AO151="2",BG151,0)</f>
        <v>0</v>
      </c>
      <c r="AF151" s="77">
        <f>IF(AO151="0",BH151,0)</f>
        <v>0</v>
      </c>
      <c r="AG151" s="71" t="s">
        <v>129</v>
      </c>
      <c r="AH151" s="77">
        <f>IF(AL151=0,J151,0)</f>
        <v>0</v>
      </c>
      <c r="AI151" s="77">
        <f>IF(AL151=15,J151,0)</f>
        <v>0</v>
      </c>
      <c r="AJ151" s="77">
        <f>IF(AL151=21,J151,0)</f>
        <v>0</v>
      </c>
      <c r="AL151" s="77">
        <v>21</v>
      </c>
      <c r="AM151" s="77">
        <f>G151*0.419908016</f>
        <v>0</v>
      </c>
      <c r="AN151" s="77">
        <f>G151*(1-0.419908016)</f>
        <v>0</v>
      </c>
      <c r="AO151" s="79" t="s">
        <v>132</v>
      </c>
      <c r="AT151" s="77">
        <f>AU151+AV151</f>
        <v>0</v>
      </c>
      <c r="AU151" s="77">
        <f>F151*AM151</f>
        <v>0</v>
      </c>
      <c r="AV151" s="77">
        <f>F151*AN151</f>
        <v>0</v>
      </c>
      <c r="AW151" s="79" t="s">
        <v>340</v>
      </c>
      <c r="AX151" s="79" t="s">
        <v>320</v>
      </c>
      <c r="AY151" s="71" t="s">
        <v>137</v>
      </c>
      <c r="BA151" s="77">
        <f>AU151+AV151</f>
        <v>0</v>
      </c>
      <c r="BB151" s="77">
        <f>G151/(100-BC151)*100</f>
        <v>0</v>
      </c>
      <c r="BC151" s="77">
        <v>0</v>
      </c>
      <c r="BD151" s="77">
        <f>L151</f>
        <v>0.33534000000000003</v>
      </c>
      <c r="BF151" s="77">
        <f>F151*AM151</f>
        <v>0</v>
      </c>
      <c r="BG151" s="77">
        <f>F151*AN151</f>
        <v>0</v>
      </c>
      <c r="BH151" s="77">
        <f>F151*G151</f>
        <v>0</v>
      </c>
      <c r="BI151" s="77"/>
      <c r="BJ151" s="77">
        <v>89</v>
      </c>
      <c r="BU151" s="77" t="e">
        <f>#REF!</f>
        <v>#REF!</v>
      </c>
      <c r="BV151" s="70" t="s">
        <v>561</v>
      </c>
    </row>
    <row r="152" spans="1:74" ht="13.5" customHeight="1" x14ac:dyDescent="0.25">
      <c r="A152" s="104"/>
      <c r="B152" s="81" t="s">
        <v>138</v>
      </c>
      <c r="C152" s="303" t="s">
        <v>562</v>
      </c>
      <c r="D152" s="304"/>
      <c r="E152" s="304"/>
      <c r="F152" s="304"/>
      <c r="G152" s="304"/>
      <c r="H152" s="304"/>
      <c r="I152" s="304"/>
      <c r="J152" s="304"/>
      <c r="K152" s="304"/>
      <c r="L152" s="304"/>
      <c r="M152" s="305"/>
    </row>
    <row r="153" spans="1:74" x14ac:dyDescent="0.25">
      <c r="A153" s="92" t="s">
        <v>429</v>
      </c>
      <c r="B153" s="69" t="s">
        <v>577</v>
      </c>
      <c r="C153" s="306" t="s">
        <v>578</v>
      </c>
      <c r="D153" s="307"/>
      <c r="E153" s="69" t="s">
        <v>325</v>
      </c>
      <c r="F153" s="77">
        <v>3</v>
      </c>
      <c r="G153" s="218">
        <v>0</v>
      </c>
      <c r="H153" s="77">
        <f>F153*AM153</f>
        <v>0</v>
      </c>
      <c r="I153" s="77">
        <f>F153*AN153</f>
        <v>0</v>
      </c>
      <c r="J153" s="77">
        <f>F153*G153</f>
        <v>0</v>
      </c>
      <c r="K153" s="77">
        <v>0</v>
      </c>
      <c r="L153" s="77">
        <f>F153*K153</f>
        <v>0</v>
      </c>
      <c r="M153" s="103" t="s">
        <v>35</v>
      </c>
      <c r="X153" s="77">
        <f>IF(AO153="5",BH153,0)</f>
        <v>0</v>
      </c>
      <c r="Z153" s="77">
        <f>IF(AO153="1",BF153,0)</f>
        <v>0</v>
      </c>
      <c r="AA153" s="77">
        <f>IF(AO153="1",BG153,0)</f>
        <v>0</v>
      </c>
      <c r="AB153" s="77">
        <f>IF(AO153="7",BF153,0)</f>
        <v>0</v>
      </c>
      <c r="AC153" s="77">
        <f>IF(AO153="7",BG153,0)</f>
        <v>0</v>
      </c>
      <c r="AD153" s="77">
        <f>IF(AO153="2",BF153,0)</f>
        <v>0</v>
      </c>
      <c r="AE153" s="77">
        <f>IF(AO153="2",BG153,0)</f>
        <v>0</v>
      </c>
      <c r="AF153" s="77">
        <f>IF(AO153="0",BH153,0)</f>
        <v>0</v>
      </c>
      <c r="AG153" s="71" t="s">
        <v>129</v>
      </c>
      <c r="AH153" s="77">
        <f>IF(AL153=0,J153,0)</f>
        <v>0</v>
      </c>
      <c r="AI153" s="77">
        <f>IF(AL153=15,J153,0)</f>
        <v>0</v>
      </c>
      <c r="AJ153" s="77">
        <f>IF(AL153=21,J153,0)</f>
        <v>0</v>
      </c>
      <c r="AL153" s="77">
        <v>21</v>
      </c>
      <c r="AM153" s="77">
        <f>G153*0.148633921</f>
        <v>0</v>
      </c>
      <c r="AN153" s="77">
        <f>G153*(1-0.148633921)</f>
        <v>0</v>
      </c>
      <c r="AO153" s="79" t="s">
        <v>132</v>
      </c>
      <c r="AT153" s="77">
        <f>AU153+AV153</f>
        <v>0</v>
      </c>
      <c r="AU153" s="77">
        <f>F153*AM153</f>
        <v>0</v>
      </c>
      <c r="AV153" s="77">
        <f>F153*AN153</f>
        <v>0</v>
      </c>
      <c r="AW153" s="79" t="s">
        <v>340</v>
      </c>
      <c r="AX153" s="79" t="s">
        <v>320</v>
      </c>
      <c r="AY153" s="71" t="s">
        <v>137</v>
      </c>
      <c r="BA153" s="77">
        <f>AU153+AV153</f>
        <v>0</v>
      </c>
      <c r="BB153" s="77">
        <f>G153/(100-BC153)*100</f>
        <v>0</v>
      </c>
      <c r="BC153" s="77">
        <v>0</v>
      </c>
      <c r="BD153" s="77">
        <f>L153</f>
        <v>0</v>
      </c>
      <c r="BF153" s="77">
        <f>F153*AM153</f>
        <v>0</v>
      </c>
      <c r="BG153" s="77">
        <f>F153*AN153</f>
        <v>0</v>
      </c>
      <c r="BH153" s="77">
        <f>F153*G153</f>
        <v>0</v>
      </c>
      <c r="BI153" s="77"/>
      <c r="BJ153" s="77">
        <v>89</v>
      </c>
      <c r="BU153" s="77" t="e">
        <f>#REF!</f>
        <v>#REF!</v>
      </c>
      <c r="BV153" s="70" t="s">
        <v>578</v>
      </c>
    </row>
    <row r="154" spans="1:74" x14ac:dyDescent="0.25">
      <c r="A154" s="105" t="s">
        <v>129</v>
      </c>
      <c r="B154" s="74" t="s">
        <v>378</v>
      </c>
      <c r="C154" s="314" t="s">
        <v>379</v>
      </c>
      <c r="D154" s="315"/>
      <c r="E154" s="75" t="s">
        <v>87</v>
      </c>
      <c r="F154" s="75" t="s">
        <v>87</v>
      </c>
      <c r="G154" s="75" t="s">
        <v>87</v>
      </c>
      <c r="H154" s="67">
        <f>SUM(H155:H155)</f>
        <v>0</v>
      </c>
      <c r="I154" s="67">
        <f>SUM(I155:I155)</f>
        <v>0</v>
      </c>
      <c r="J154" s="67">
        <f>SUM(J155:J155)</f>
        <v>0</v>
      </c>
      <c r="K154" s="71" t="s">
        <v>129</v>
      </c>
      <c r="L154" s="67">
        <f>SUM(L155:L155)</f>
        <v>0</v>
      </c>
      <c r="M154" s="106" t="s">
        <v>129</v>
      </c>
      <c r="AG154" s="71" t="s">
        <v>129</v>
      </c>
      <c r="AQ154" s="67">
        <f>SUM(AH155:AH155)</f>
        <v>0</v>
      </c>
      <c r="AR154" s="67">
        <f>SUM(AI155:AI155)</f>
        <v>0</v>
      </c>
      <c r="AS154" s="67">
        <f>SUM(AJ155:AJ155)</f>
        <v>0</v>
      </c>
    </row>
    <row r="155" spans="1:74" x14ac:dyDescent="0.25">
      <c r="A155" s="92" t="s">
        <v>433</v>
      </c>
      <c r="B155" s="69" t="s">
        <v>381</v>
      </c>
      <c r="C155" s="306" t="s">
        <v>382</v>
      </c>
      <c r="D155" s="307"/>
      <c r="E155" s="69" t="s">
        <v>281</v>
      </c>
      <c r="F155" s="77">
        <v>16.32</v>
      </c>
      <c r="G155" s="218">
        <v>0</v>
      </c>
      <c r="H155" s="77">
        <f>F155*AM155</f>
        <v>0</v>
      </c>
      <c r="I155" s="77">
        <f>F155*AN155</f>
        <v>0</v>
      </c>
      <c r="J155" s="77">
        <f>F155*G155</f>
        <v>0</v>
      </c>
      <c r="K155" s="77">
        <v>0</v>
      </c>
      <c r="L155" s="77">
        <f>F155*K155</f>
        <v>0</v>
      </c>
      <c r="M155" s="103" t="s">
        <v>35</v>
      </c>
      <c r="X155" s="77">
        <f>IF(AO155="5",BH155,0)</f>
        <v>0</v>
      </c>
      <c r="Z155" s="77">
        <f>IF(AO155="1",BF155,0)</f>
        <v>0</v>
      </c>
      <c r="AA155" s="77">
        <f>IF(AO155="1",BG155,0)</f>
        <v>0</v>
      </c>
      <c r="AB155" s="77">
        <f>IF(AO155="7",BF155,0)</f>
        <v>0</v>
      </c>
      <c r="AC155" s="77">
        <f>IF(AO155="7",BG155,0)</f>
        <v>0</v>
      </c>
      <c r="AD155" s="77">
        <f>IF(AO155="2",BF155,0)</f>
        <v>0</v>
      </c>
      <c r="AE155" s="77">
        <f>IF(AO155="2",BG155,0)</f>
        <v>0</v>
      </c>
      <c r="AF155" s="77">
        <f>IF(AO155="0",BH155,0)</f>
        <v>0</v>
      </c>
      <c r="AG155" s="71" t="s">
        <v>129</v>
      </c>
      <c r="AH155" s="77">
        <f>IF(AL155=0,J155,0)</f>
        <v>0</v>
      </c>
      <c r="AI155" s="77">
        <f>IF(AL155=15,J155,0)</f>
        <v>0</v>
      </c>
      <c r="AJ155" s="77">
        <f>IF(AL155=21,J155,0)</f>
        <v>0</v>
      </c>
      <c r="AL155" s="77">
        <v>21</v>
      </c>
      <c r="AM155" s="77">
        <f>G155*0</f>
        <v>0</v>
      </c>
      <c r="AN155" s="77">
        <f>G155*(1-0)</f>
        <v>0</v>
      </c>
      <c r="AO155" s="79" t="s">
        <v>132</v>
      </c>
      <c r="AT155" s="77">
        <f>AU155+AV155</f>
        <v>0</v>
      </c>
      <c r="AU155" s="77">
        <f>F155*AM155</f>
        <v>0</v>
      </c>
      <c r="AV155" s="77">
        <f>F155*AN155</f>
        <v>0</v>
      </c>
      <c r="AW155" s="79" t="s">
        <v>383</v>
      </c>
      <c r="AX155" s="79" t="s">
        <v>384</v>
      </c>
      <c r="AY155" s="71" t="s">
        <v>137</v>
      </c>
      <c r="BA155" s="77">
        <f>AU155+AV155</f>
        <v>0</v>
      </c>
      <c r="BB155" s="77">
        <f>G155/(100-BC155)*100</f>
        <v>0</v>
      </c>
      <c r="BC155" s="77">
        <v>0</v>
      </c>
      <c r="BD155" s="77">
        <f>L155</f>
        <v>0</v>
      </c>
      <c r="BF155" s="77">
        <f>F155*AM155</f>
        <v>0</v>
      </c>
      <c r="BG155" s="77">
        <f>F155*AN155</f>
        <v>0</v>
      </c>
      <c r="BH155" s="77">
        <f>F155*G155</f>
        <v>0</v>
      </c>
      <c r="BI155" s="77"/>
      <c r="BJ155" s="77">
        <v>97</v>
      </c>
      <c r="BU155" s="77" t="e">
        <f>#REF!</f>
        <v>#REF!</v>
      </c>
      <c r="BV155" s="70" t="s">
        <v>382</v>
      </c>
    </row>
    <row r="156" spans="1:74" ht="27" customHeight="1" x14ac:dyDescent="0.25">
      <c r="A156" s="104"/>
      <c r="B156" s="81" t="s">
        <v>138</v>
      </c>
      <c r="C156" s="303" t="s">
        <v>796</v>
      </c>
      <c r="D156" s="304"/>
      <c r="E156" s="304"/>
      <c r="F156" s="304"/>
      <c r="G156" s="304"/>
      <c r="H156" s="304"/>
      <c r="I156" s="304"/>
      <c r="J156" s="304"/>
      <c r="K156" s="304"/>
      <c r="L156" s="304"/>
      <c r="M156" s="305"/>
    </row>
    <row r="157" spans="1:74" x14ac:dyDescent="0.25">
      <c r="A157" s="105" t="s">
        <v>129</v>
      </c>
      <c r="B157" s="74" t="s">
        <v>386</v>
      </c>
      <c r="C157" s="314" t="s">
        <v>387</v>
      </c>
      <c r="D157" s="315"/>
      <c r="E157" s="75" t="s">
        <v>87</v>
      </c>
      <c r="F157" s="75" t="s">
        <v>87</v>
      </c>
      <c r="G157" s="75" t="s">
        <v>87</v>
      </c>
      <c r="H157" s="67">
        <f>SUM(H158:H163)</f>
        <v>0</v>
      </c>
      <c r="I157" s="67">
        <f>SUM(I158:I163)</f>
        <v>0</v>
      </c>
      <c r="J157" s="67">
        <f>SUM(J158:J163)</f>
        <v>0</v>
      </c>
      <c r="K157" s="71" t="s">
        <v>129</v>
      </c>
      <c r="L157" s="67">
        <f>SUM(L158:L163)</f>
        <v>0</v>
      </c>
      <c r="M157" s="106" t="s">
        <v>129</v>
      </c>
      <c r="AG157" s="71" t="s">
        <v>129</v>
      </c>
      <c r="AQ157" s="67">
        <f>SUM(AH158:AH163)</f>
        <v>0</v>
      </c>
      <c r="AR157" s="67">
        <f>SUM(AI158:AI163)</f>
        <v>0</v>
      </c>
      <c r="AS157" s="67">
        <f>SUM(AJ158:AJ163)</f>
        <v>0</v>
      </c>
    </row>
    <row r="158" spans="1:74" x14ac:dyDescent="0.25">
      <c r="A158" s="92" t="s">
        <v>437</v>
      </c>
      <c r="B158" s="69" t="s">
        <v>389</v>
      </c>
      <c r="C158" s="306" t="s">
        <v>390</v>
      </c>
      <c r="D158" s="307"/>
      <c r="E158" s="69" t="s">
        <v>281</v>
      </c>
      <c r="F158" s="77">
        <v>14.71</v>
      </c>
      <c r="G158" s="218">
        <v>0</v>
      </c>
      <c r="H158" s="77">
        <f>F158*AM158</f>
        <v>0</v>
      </c>
      <c r="I158" s="77">
        <f>F158*AN158</f>
        <v>0</v>
      </c>
      <c r="J158" s="77">
        <f>F158*G158</f>
        <v>0</v>
      </c>
      <c r="K158" s="77">
        <v>0</v>
      </c>
      <c r="L158" s="77">
        <f>F158*K158</f>
        <v>0</v>
      </c>
      <c r="M158" s="103" t="s">
        <v>35</v>
      </c>
      <c r="X158" s="77">
        <f>IF(AO158="5",BH158,0)</f>
        <v>0</v>
      </c>
      <c r="Z158" s="77">
        <f>IF(AO158="1",BF158,0)</f>
        <v>0</v>
      </c>
      <c r="AA158" s="77">
        <f>IF(AO158="1",BG158,0)</f>
        <v>0</v>
      </c>
      <c r="AB158" s="77">
        <f>IF(AO158="7",BF158,0)</f>
        <v>0</v>
      </c>
      <c r="AC158" s="77">
        <f>IF(AO158="7",BG158,0)</f>
        <v>0</v>
      </c>
      <c r="AD158" s="77">
        <f>IF(AO158="2",BF158,0)</f>
        <v>0</v>
      </c>
      <c r="AE158" s="77">
        <f>IF(AO158="2",BG158,0)</f>
        <v>0</v>
      </c>
      <c r="AF158" s="77">
        <f>IF(AO158="0",BH158,0)</f>
        <v>0</v>
      </c>
      <c r="AG158" s="71" t="s">
        <v>129</v>
      </c>
      <c r="AH158" s="77">
        <f>IF(AL158=0,J158,0)</f>
        <v>0</v>
      </c>
      <c r="AI158" s="77">
        <f>IF(AL158=15,J158,0)</f>
        <v>0</v>
      </c>
      <c r="AJ158" s="77">
        <f>IF(AL158=21,J158,0)</f>
        <v>0</v>
      </c>
      <c r="AL158" s="77">
        <v>21</v>
      </c>
      <c r="AM158" s="77">
        <f>G158*0</f>
        <v>0</v>
      </c>
      <c r="AN158" s="77">
        <f>G158*(1-0)</f>
        <v>0</v>
      </c>
      <c r="AO158" s="79" t="s">
        <v>158</v>
      </c>
      <c r="AT158" s="77">
        <f>AU158+AV158</f>
        <v>0</v>
      </c>
      <c r="AU158" s="77">
        <f>F158*AM158</f>
        <v>0</v>
      </c>
      <c r="AV158" s="77">
        <f>F158*AN158</f>
        <v>0</v>
      </c>
      <c r="AW158" s="79" t="s">
        <v>391</v>
      </c>
      <c r="AX158" s="79" t="s">
        <v>384</v>
      </c>
      <c r="AY158" s="71" t="s">
        <v>137</v>
      </c>
      <c r="BA158" s="77">
        <f>AU158+AV158</f>
        <v>0</v>
      </c>
      <c r="BB158" s="77">
        <f>G158/(100-BC158)*100</f>
        <v>0</v>
      </c>
      <c r="BC158" s="77">
        <v>0</v>
      </c>
      <c r="BD158" s="77">
        <f>L158</f>
        <v>0</v>
      </c>
      <c r="BF158" s="77">
        <f>F158*AM158</f>
        <v>0</v>
      </c>
      <c r="BG158" s="77">
        <f>F158*AN158</f>
        <v>0</v>
      </c>
      <c r="BH158" s="77">
        <f>F158*G158</f>
        <v>0</v>
      </c>
      <c r="BI158" s="77"/>
      <c r="BJ158" s="77"/>
      <c r="BU158" s="77" t="e">
        <f>#REF!</f>
        <v>#REF!</v>
      </c>
      <c r="BV158" s="70" t="s">
        <v>390</v>
      </c>
    </row>
    <row r="159" spans="1:74" x14ac:dyDescent="0.25">
      <c r="A159" s="92" t="s">
        <v>441</v>
      </c>
      <c r="B159" s="69" t="s">
        <v>393</v>
      </c>
      <c r="C159" s="306" t="s">
        <v>394</v>
      </c>
      <c r="D159" s="307"/>
      <c r="E159" s="69" t="s">
        <v>281</v>
      </c>
      <c r="F159" s="77">
        <v>81.599999999999994</v>
      </c>
      <c r="G159" s="218">
        <v>0</v>
      </c>
      <c r="H159" s="77">
        <f>F159*AM159</f>
        <v>0</v>
      </c>
      <c r="I159" s="77">
        <f>F159*AN159</f>
        <v>0</v>
      </c>
      <c r="J159" s="77">
        <f>F159*G159</f>
        <v>0</v>
      </c>
      <c r="K159" s="77">
        <v>0</v>
      </c>
      <c r="L159" s="77">
        <f>F159*K159</f>
        <v>0</v>
      </c>
      <c r="M159" s="103" t="s">
        <v>35</v>
      </c>
      <c r="X159" s="77">
        <f>IF(AO159="5",BH159,0)</f>
        <v>0</v>
      </c>
      <c r="Z159" s="77">
        <f>IF(AO159="1",BF159,0)</f>
        <v>0</v>
      </c>
      <c r="AA159" s="77">
        <f>IF(AO159="1",BG159,0)</f>
        <v>0</v>
      </c>
      <c r="AB159" s="77">
        <f>IF(AO159="7",BF159,0)</f>
        <v>0</v>
      </c>
      <c r="AC159" s="77">
        <f>IF(AO159="7",BG159,0)</f>
        <v>0</v>
      </c>
      <c r="AD159" s="77">
        <f>IF(AO159="2",BF159,0)</f>
        <v>0</v>
      </c>
      <c r="AE159" s="77">
        <f>IF(AO159="2",BG159,0)</f>
        <v>0</v>
      </c>
      <c r="AF159" s="77">
        <f>IF(AO159="0",BH159,0)</f>
        <v>0</v>
      </c>
      <c r="AG159" s="71" t="s">
        <v>129</v>
      </c>
      <c r="AH159" s="77">
        <f>IF(AL159=0,J159,0)</f>
        <v>0</v>
      </c>
      <c r="AI159" s="77">
        <f>IF(AL159=15,J159,0)</f>
        <v>0</v>
      </c>
      <c r="AJ159" s="77">
        <f>IF(AL159=21,J159,0)</f>
        <v>0</v>
      </c>
      <c r="AL159" s="77">
        <v>21</v>
      </c>
      <c r="AM159" s="77">
        <f>G159*0</f>
        <v>0</v>
      </c>
      <c r="AN159" s="77">
        <f>G159*(1-0)</f>
        <v>0</v>
      </c>
      <c r="AO159" s="79" t="s">
        <v>158</v>
      </c>
      <c r="AT159" s="77">
        <f>AU159+AV159</f>
        <v>0</v>
      </c>
      <c r="AU159" s="77">
        <f>F159*AM159</f>
        <v>0</v>
      </c>
      <c r="AV159" s="77">
        <f>F159*AN159</f>
        <v>0</v>
      </c>
      <c r="AW159" s="79" t="s">
        <v>391</v>
      </c>
      <c r="AX159" s="79" t="s">
        <v>384</v>
      </c>
      <c r="AY159" s="71" t="s">
        <v>137</v>
      </c>
      <c r="BA159" s="77">
        <f>AU159+AV159</f>
        <v>0</v>
      </c>
      <c r="BB159" s="77">
        <f>G159/(100-BC159)*100</f>
        <v>0</v>
      </c>
      <c r="BC159" s="77">
        <v>0</v>
      </c>
      <c r="BD159" s="77">
        <f>L159</f>
        <v>0</v>
      </c>
      <c r="BF159" s="77">
        <f>F159*AM159</f>
        <v>0</v>
      </c>
      <c r="BG159" s="77">
        <f>F159*AN159</f>
        <v>0</v>
      </c>
      <c r="BH159" s="77">
        <f>F159*G159</f>
        <v>0</v>
      </c>
      <c r="BI159" s="77"/>
      <c r="BJ159" s="77"/>
      <c r="BU159" s="77" t="e">
        <f>#REF!</f>
        <v>#REF!</v>
      </c>
      <c r="BV159" s="70" t="s">
        <v>394</v>
      </c>
    </row>
    <row r="160" spans="1:74" ht="40.5" customHeight="1" x14ac:dyDescent="0.25">
      <c r="A160" s="104"/>
      <c r="B160" s="81" t="s">
        <v>138</v>
      </c>
      <c r="C160" s="303" t="s">
        <v>797</v>
      </c>
      <c r="D160" s="304"/>
      <c r="E160" s="304"/>
      <c r="F160" s="304"/>
      <c r="G160" s="304"/>
      <c r="H160" s="304"/>
      <c r="I160" s="304"/>
      <c r="J160" s="304"/>
      <c r="K160" s="304"/>
      <c r="L160" s="304"/>
      <c r="M160" s="305"/>
    </row>
    <row r="161" spans="1:74" x14ac:dyDescent="0.25">
      <c r="A161" s="92" t="s">
        <v>445</v>
      </c>
      <c r="B161" s="69" t="s">
        <v>798</v>
      </c>
      <c r="C161" s="306" t="s">
        <v>799</v>
      </c>
      <c r="D161" s="307"/>
      <c r="E161" s="69" t="s">
        <v>281</v>
      </c>
      <c r="F161" s="77">
        <v>27.2</v>
      </c>
      <c r="G161" s="218">
        <v>0</v>
      </c>
      <c r="H161" s="77">
        <f>F161*AM161</f>
        <v>0</v>
      </c>
      <c r="I161" s="77">
        <f>F161*AN161</f>
        <v>0</v>
      </c>
      <c r="J161" s="77">
        <f>F161*G161</f>
        <v>0</v>
      </c>
      <c r="K161" s="77">
        <v>0</v>
      </c>
      <c r="L161" s="77">
        <f>F161*K161</f>
        <v>0</v>
      </c>
      <c r="M161" s="103" t="s">
        <v>35</v>
      </c>
      <c r="X161" s="77">
        <f>IF(AO161="5",BH161,0)</f>
        <v>0</v>
      </c>
      <c r="Z161" s="77">
        <f>IF(AO161="1",BF161,0)</f>
        <v>0</v>
      </c>
      <c r="AA161" s="77">
        <f>IF(AO161="1",BG161,0)</f>
        <v>0</v>
      </c>
      <c r="AB161" s="77">
        <f>IF(AO161="7",BF161,0)</f>
        <v>0</v>
      </c>
      <c r="AC161" s="77">
        <f>IF(AO161="7",BG161,0)</f>
        <v>0</v>
      </c>
      <c r="AD161" s="77">
        <f>IF(AO161="2",BF161,0)</f>
        <v>0</v>
      </c>
      <c r="AE161" s="77">
        <f>IF(AO161="2",BG161,0)</f>
        <v>0</v>
      </c>
      <c r="AF161" s="77">
        <f>IF(AO161="0",BH161,0)</f>
        <v>0</v>
      </c>
      <c r="AG161" s="71" t="s">
        <v>129</v>
      </c>
      <c r="AH161" s="77">
        <f>IF(AL161=0,J161,0)</f>
        <v>0</v>
      </c>
      <c r="AI161" s="77">
        <f>IF(AL161=15,J161,0)</f>
        <v>0</v>
      </c>
      <c r="AJ161" s="77">
        <f>IF(AL161=21,J161,0)</f>
        <v>0</v>
      </c>
      <c r="AL161" s="77">
        <v>21</v>
      </c>
      <c r="AM161" s="77">
        <f>G161*0</f>
        <v>0</v>
      </c>
      <c r="AN161" s="77">
        <f>G161*(1-0)</f>
        <v>0</v>
      </c>
      <c r="AO161" s="79" t="s">
        <v>158</v>
      </c>
      <c r="AT161" s="77">
        <f>AU161+AV161</f>
        <v>0</v>
      </c>
      <c r="AU161" s="77">
        <f>F161*AM161</f>
        <v>0</v>
      </c>
      <c r="AV161" s="77">
        <f>F161*AN161</f>
        <v>0</v>
      </c>
      <c r="AW161" s="79" t="s">
        <v>391</v>
      </c>
      <c r="AX161" s="79" t="s">
        <v>384</v>
      </c>
      <c r="AY161" s="71" t="s">
        <v>137</v>
      </c>
      <c r="BA161" s="77">
        <f>AU161+AV161</f>
        <v>0</v>
      </c>
      <c r="BB161" s="77">
        <f>G161/(100-BC161)*100</f>
        <v>0</v>
      </c>
      <c r="BC161" s="77">
        <v>0</v>
      </c>
      <c r="BD161" s="77">
        <f>L161</f>
        <v>0</v>
      </c>
      <c r="BF161" s="77">
        <f>F161*AM161</f>
        <v>0</v>
      </c>
      <c r="BG161" s="77">
        <f>F161*AN161</f>
        <v>0</v>
      </c>
      <c r="BH161" s="77">
        <f>F161*G161</f>
        <v>0</v>
      </c>
      <c r="BI161" s="77"/>
      <c r="BJ161" s="77"/>
      <c r="BU161" s="77" t="e">
        <f>#REF!</f>
        <v>#REF!</v>
      </c>
      <c r="BV161" s="70" t="s">
        <v>799</v>
      </c>
    </row>
    <row r="162" spans="1:74" ht="40.5" customHeight="1" x14ac:dyDescent="0.25">
      <c r="A162" s="104"/>
      <c r="B162" s="81" t="s">
        <v>138</v>
      </c>
      <c r="C162" s="303" t="s">
        <v>800</v>
      </c>
      <c r="D162" s="304"/>
      <c r="E162" s="304"/>
      <c r="F162" s="304"/>
      <c r="G162" s="304"/>
      <c r="H162" s="304"/>
      <c r="I162" s="304"/>
      <c r="J162" s="304"/>
      <c r="K162" s="304"/>
      <c r="L162" s="304"/>
      <c r="M162" s="305"/>
    </row>
    <row r="163" spans="1:74" ht="25.5" x14ac:dyDescent="0.25">
      <c r="A163" s="92" t="s">
        <v>449</v>
      </c>
      <c r="B163" s="69" t="s">
        <v>389</v>
      </c>
      <c r="C163" s="306" t="s">
        <v>400</v>
      </c>
      <c r="D163" s="307"/>
      <c r="E163" s="69" t="s">
        <v>281</v>
      </c>
      <c r="F163" s="77">
        <v>42.9</v>
      </c>
      <c r="G163" s="218">
        <v>0</v>
      </c>
      <c r="H163" s="77">
        <f>F163*AM163</f>
        <v>0</v>
      </c>
      <c r="I163" s="77">
        <f>F163*AN163</f>
        <v>0</v>
      </c>
      <c r="J163" s="77">
        <f>F163*G163</f>
        <v>0</v>
      </c>
      <c r="K163" s="77">
        <v>0</v>
      </c>
      <c r="L163" s="77">
        <f>F163*K163</f>
        <v>0</v>
      </c>
      <c r="M163" s="103" t="s">
        <v>35</v>
      </c>
      <c r="X163" s="77">
        <f>IF(AO163="5",BH163,0)</f>
        <v>0</v>
      </c>
      <c r="Z163" s="77">
        <f>IF(AO163="1",BF163,0)</f>
        <v>0</v>
      </c>
      <c r="AA163" s="77">
        <f>IF(AO163="1",BG163,0)</f>
        <v>0</v>
      </c>
      <c r="AB163" s="77">
        <f>IF(AO163="7",BF163,0)</f>
        <v>0</v>
      </c>
      <c r="AC163" s="77">
        <f>IF(AO163="7",BG163,0)</f>
        <v>0</v>
      </c>
      <c r="AD163" s="77">
        <f>IF(AO163="2",BF163,0)</f>
        <v>0</v>
      </c>
      <c r="AE163" s="77">
        <f>IF(AO163="2",BG163,0)</f>
        <v>0</v>
      </c>
      <c r="AF163" s="77">
        <f>IF(AO163="0",BH163,0)</f>
        <v>0</v>
      </c>
      <c r="AG163" s="71" t="s">
        <v>129</v>
      </c>
      <c r="AH163" s="77">
        <f>IF(AL163=0,J163,0)</f>
        <v>0</v>
      </c>
      <c r="AI163" s="77">
        <f>IF(AL163=15,J163,0)</f>
        <v>0</v>
      </c>
      <c r="AJ163" s="77">
        <f>IF(AL163=21,J163,0)</f>
        <v>0</v>
      </c>
      <c r="AL163" s="77">
        <v>21</v>
      </c>
      <c r="AM163" s="77">
        <f>G163*0</f>
        <v>0</v>
      </c>
      <c r="AN163" s="77">
        <f>G163*(1-0)</f>
        <v>0</v>
      </c>
      <c r="AO163" s="79" t="s">
        <v>158</v>
      </c>
      <c r="AT163" s="77">
        <f>AU163+AV163</f>
        <v>0</v>
      </c>
      <c r="AU163" s="77">
        <f>F163*AM163</f>
        <v>0</v>
      </c>
      <c r="AV163" s="77">
        <f>F163*AN163</f>
        <v>0</v>
      </c>
      <c r="AW163" s="79" t="s">
        <v>391</v>
      </c>
      <c r="AX163" s="79" t="s">
        <v>384</v>
      </c>
      <c r="AY163" s="71" t="s">
        <v>137</v>
      </c>
      <c r="BA163" s="77">
        <f>AU163+AV163</f>
        <v>0</v>
      </c>
      <c r="BB163" s="77">
        <f>G163/(100-BC163)*100</f>
        <v>0</v>
      </c>
      <c r="BC163" s="77">
        <v>0</v>
      </c>
      <c r="BD163" s="77">
        <f>L163</f>
        <v>0</v>
      </c>
      <c r="BF163" s="77">
        <f>F163*AM163</f>
        <v>0</v>
      </c>
      <c r="BG163" s="77">
        <f>F163*AN163</f>
        <v>0</v>
      </c>
      <c r="BH163" s="77">
        <f>F163*G163</f>
        <v>0</v>
      </c>
      <c r="BI163" s="77"/>
      <c r="BJ163" s="77"/>
      <c r="BU163" s="77" t="e">
        <f>#REF!</f>
        <v>#REF!</v>
      </c>
      <c r="BV163" s="70" t="s">
        <v>400</v>
      </c>
    </row>
    <row r="164" spans="1:74" x14ac:dyDescent="0.25">
      <c r="A164" s="105" t="s">
        <v>129</v>
      </c>
      <c r="B164" s="74" t="s">
        <v>401</v>
      </c>
      <c r="C164" s="314" t="s">
        <v>402</v>
      </c>
      <c r="D164" s="315"/>
      <c r="E164" s="75" t="s">
        <v>87</v>
      </c>
      <c r="F164" s="75" t="s">
        <v>87</v>
      </c>
      <c r="G164" s="75" t="s">
        <v>87</v>
      </c>
      <c r="H164" s="67">
        <f>SUM(H165:H166)</f>
        <v>0</v>
      </c>
      <c r="I164" s="67">
        <f>SUM(I165:I166)</f>
        <v>0</v>
      </c>
      <c r="J164" s="67">
        <f>SUM(J165:J166)</f>
        <v>0</v>
      </c>
      <c r="K164" s="71" t="s">
        <v>129</v>
      </c>
      <c r="L164" s="67">
        <f>SUM(L165:L166)</f>
        <v>0</v>
      </c>
      <c r="M164" s="106" t="s">
        <v>129</v>
      </c>
      <c r="AG164" s="71" t="s">
        <v>129</v>
      </c>
      <c r="AQ164" s="67">
        <f>SUM(AH165:AH166)</f>
        <v>0</v>
      </c>
      <c r="AR164" s="67">
        <f>SUM(AI165:AI166)</f>
        <v>0</v>
      </c>
      <c r="AS164" s="67">
        <f>SUM(AJ165:AJ166)</f>
        <v>0</v>
      </c>
    </row>
    <row r="165" spans="1:74" x14ac:dyDescent="0.25">
      <c r="A165" s="92" t="s">
        <v>452</v>
      </c>
      <c r="B165" s="69" t="s">
        <v>582</v>
      </c>
      <c r="C165" s="306" t="s">
        <v>583</v>
      </c>
      <c r="D165" s="307"/>
      <c r="E165" s="69" t="s">
        <v>281</v>
      </c>
      <c r="F165" s="77">
        <v>1.49</v>
      </c>
      <c r="G165" s="218">
        <v>0</v>
      </c>
      <c r="H165" s="77">
        <f>F165*AM165</f>
        <v>0</v>
      </c>
      <c r="I165" s="77">
        <f>F165*AN165</f>
        <v>0</v>
      </c>
      <c r="J165" s="77">
        <f>F165*G165</f>
        <v>0</v>
      </c>
      <c r="K165" s="77">
        <v>0</v>
      </c>
      <c r="L165" s="77">
        <f>F165*K165</f>
        <v>0</v>
      </c>
      <c r="M165" s="103" t="s">
        <v>35</v>
      </c>
      <c r="X165" s="77">
        <f>IF(AO165="5",BH165,0)</f>
        <v>0</v>
      </c>
      <c r="Z165" s="77">
        <f>IF(AO165="1",BF165,0)</f>
        <v>0</v>
      </c>
      <c r="AA165" s="77">
        <f>IF(AO165="1",BG165,0)</f>
        <v>0</v>
      </c>
      <c r="AB165" s="77">
        <f>IF(AO165="7",BF165,0)</f>
        <v>0</v>
      </c>
      <c r="AC165" s="77">
        <f>IF(AO165="7",BG165,0)</f>
        <v>0</v>
      </c>
      <c r="AD165" s="77">
        <f>IF(AO165="2",BF165,0)</f>
        <v>0</v>
      </c>
      <c r="AE165" s="77">
        <f>IF(AO165="2",BG165,0)</f>
        <v>0</v>
      </c>
      <c r="AF165" s="77">
        <f>IF(AO165="0",BH165,0)</f>
        <v>0</v>
      </c>
      <c r="AG165" s="71" t="s">
        <v>129</v>
      </c>
      <c r="AH165" s="77">
        <f>IF(AL165=0,J165,0)</f>
        <v>0</v>
      </c>
      <c r="AI165" s="77">
        <f>IF(AL165=15,J165,0)</f>
        <v>0</v>
      </c>
      <c r="AJ165" s="77">
        <f>IF(AL165=21,J165,0)</f>
        <v>0</v>
      </c>
      <c r="AL165" s="77">
        <v>21</v>
      </c>
      <c r="AM165" s="77">
        <f>G165*0</f>
        <v>0</v>
      </c>
      <c r="AN165" s="77">
        <f>G165*(1-0)</f>
        <v>0</v>
      </c>
      <c r="AO165" s="79" t="s">
        <v>158</v>
      </c>
      <c r="AT165" s="77">
        <f>AU165+AV165</f>
        <v>0</v>
      </c>
      <c r="AU165" s="77">
        <f>F165*AM165</f>
        <v>0</v>
      </c>
      <c r="AV165" s="77">
        <f>F165*AN165</f>
        <v>0</v>
      </c>
      <c r="AW165" s="79" t="s">
        <v>406</v>
      </c>
      <c r="AX165" s="79" t="s">
        <v>384</v>
      </c>
      <c r="AY165" s="71" t="s">
        <v>137</v>
      </c>
      <c r="BA165" s="77">
        <f>AU165+AV165</f>
        <v>0</v>
      </c>
      <c r="BB165" s="77">
        <f>G165/(100-BC165)*100</f>
        <v>0</v>
      </c>
      <c r="BC165" s="77">
        <v>0</v>
      </c>
      <c r="BD165" s="77">
        <f>L165</f>
        <v>0</v>
      </c>
      <c r="BF165" s="77">
        <f>F165*AM165</f>
        <v>0</v>
      </c>
      <c r="BG165" s="77">
        <f>F165*AN165</f>
        <v>0</v>
      </c>
      <c r="BH165" s="77">
        <f>F165*G165</f>
        <v>0</v>
      </c>
      <c r="BI165" s="77"/>
      <c r="BJ165" s="77"/>
      <c r="BU165" s="77" t="e">
        <f>#REF!</f>
        <v>#REF!</v>
      </c>
      <c r="BV165" s="70" t="s">
        <v>583</v>
      </c>
    </row>
    <row r="166" spans="1:74" x14ac:dyDescent="0.25">
      <c r="A166" s="92" t="s">
        <v>455</v>
      </c>
      <c r="B166" s="69" t="s">
        <v>582</v>
      </c>
      <c r="C166" s="306" t="s">
        <v>584</v>
      </c>
      <c r="D166" s="307"/>
      <c r="E166" s="69" t="s">
        <v>281</v>
      </c>
      <c r="F166" s="77">
        <v>13.7</v>
      </c>
      <c r="G166" s="218">
        <v>0</v>
      </c>
      <c r="H166" s="77">
        <f>F166*AM166</f>
        <v>0</v>
      </c>
      <c r="I166" s="77">
        <f>F166*AN166</f>
        <v>0</v>
      </c>
      <c r="J166" s="77">
        <f>F166*G166</f>
        <v>0</v>
      </c>
      <c r="K166" s="77">
        <v>0</v>
      </c>
      <c r="L166" s="77">
        <f>F166*K166</f>
        <v>0</v>
      </c>
      <c r="M166" s="103" t="s">
        <v>35</v>
      </c>
      <c r="X166" s="77">
        <f>IF(AO166="5",BH166,0)</f>
        <v>0</v>
      </c>
      <c r="Z166" s="77">
        <f>IF(AO166="1",BF166,0)</f>
        <v>0</v>
      </c>
      <c r="AA166" s="77">
        <f>IF(AO166="1",BG166,0)</f>
        <v>0</v>
      </c>
      <c r="AB166" s="77">
        <f>IF(AO166="7",BF166,0)</f>
        <v>0</v>
      </c>
      <c r="AC166" s="77">
        <f>IF(AO166="7",BG166,0)</f>
        <v>0</v>
      </c>
      <c r="AD166" s="77">
        <f>IF(AO166="2",BF166,0)</f>
        <v>0</v>
      </c>
      <c r="AE166" s="77">
        <f>IF(AO166="2",BG166,0)</f>
        <v>0</v>
      </c>
      <c r="AF166" s="77">
        <f>IF(AO166="0",BH166,0)</f>
        <v>0</v>
      </c>
      <c r="AG166" s="71" t="s">
        <v>129</v>
      </c>
      <c r="AH166" s="77">
        <f>IF(AL166=0,J166,0)</f>
        <v>0</v>
      </c>
      <c r="AI166" s="77">
        <f>IF(AL166=15,J166,0)</f>
        <v>0</v>
      </c>
      <c r="AJ166" s="77">
        <f>IF(AL166=21,J166,0)</f>
        <v>0</v>
      </c>
      <c r="AL166" s="77">
        <v>21</v>
      </c>
      <c r="AM166" s="77">
        <f>G166*0</f>
        <v>0</v>
      </c>
      <c r="AN166" s="77">
        <f>G166*(1-0)</f>
        <v>0</v>
      </c>
      <c r="AO166" s="79" t="s">
        <v>158</v>
      </c>
      <c r="AT166" s="77">
        <f>AU166+AV166</f>
        <v>0</v>
      </c>
      <c r="AU166" s="77">
        <f>F166*AM166</f>
        <v>0</v>
      </c>
      <c r="AV166" s="77">
        <f>F166*AN166</f>
        <v>0</v>
      </c>
      <c r="AW166" s="79" t="s">
        <v>406</v>
      </c>
      <c r="AX166" s="79" t="s">
        <v>384</v>
      </c>
      <c r="AY166" s="71" t="s">
        <v>137</v>
      </c>
      <c r="BA166" s="77">
        <f>AU166+AV166</f>
        <v>0</v>
      </c>
      <c r="BB166" s="77">
        <f>G166/(100-BC166)*100</f>
        <v>0</v>
      </c>
      <c r="BC166" s="77">
        <v>0</v>
      </c>
      <c r="BD166" s="77">
        <f>L166</f>
        <v>0</v>
      </c>
      <c r="BF166" s="77">
        <f>F166*AM166</f>
        <v>0</v>
      </c>
      <c r="BG166" s="77">
        <f>F166*AN166</f>
        <v>0</v>
      </c>
      <c r="BH166" s="77">
        <f>F166*G166</f>
        <v>0</v>
      </c>
      <c r="BI166" s="77"/>
      <c r="BJ166" s="77"/>
      <c r="BU166" s="77" t="e">
        <f>#REF!</f>
        <v>#REF!</v>
      </c>
      <c r="BV166" s="70" t="s">
        <v>584</v>
      </c>
    </row>
    <row r="167" spans="1:74" x14ac:dyDescent="0.25">
      <c r="A167" s="105" t="s">
        <v>129</v>
      </c>
      <c r="B167" s="74" t="s">
        <v>585</v>
      </c>
      <c r="C167" s="314" t="s">
        <v>586</v>
      </c>
      <c r="D167" s="315"/>
      <c r="E167" s="75" t="s">
        <v>87</v>
      </c>
      <c r="F167" s="75" t="s">
        <v>87</v>
      </c>
      <c r="G167" s="75" t="s">
        <v>87</v>
      </c>
      <c r="H167" s="67">
        <f>SUM(H168:H168)</f>
        <v>0</v>
      </c>
      <c r="I167" s="67">
        <f>SUM(I168:I168)</f>
        <v>0</v>
      </c>
      <c r="J167" s="67">
        <f>SUM(J168:J168)</f>
        <v>0</v>
      </c>
      <c r="K167" s="71" t="s">
        <v>129</v>
      </c>
      <c r="L167" s="67">
        <f>SUM(L168:L168)</f>
        <v>0</v>
      </c>
      <c r="M167" s="106" t="s">
        <v>129</v>
      </c>
      <c r="AG167" s="71" t="s">
        <v>129</v>
      </c>
      <c r="AQ167" s="67">
        <f>SUM(AH168:AH168)</f>
        <v>0</v>
      </c>
      <c r="AR167" s="67">
        <f>SUM(AI168:AI168)</f>
        <v>0</v>
      </c>
      <c r="AS167" s="67">
        <f>SUM(AJ168:AJ168)</f>
        <v>0</v>
      </c>
    </row>
    <row r="168" spans="1:74" x14ac:dyDescent="0.25">
      <c r="A168" s="92" t="s">
        <v>458</v>
      </c>
      <c r="B168" s="69" t="s">
        <v>587</v>
      </c>
      <c r="C168" s="306" t="s">
        <v>588</v>
      </c>
      <c r="D168" s="307"/>
      <c r="E168" s="69" t="s">
        <v>281</v>
      </c>
      <c r="F168" s="77">
        <v>0.01</v>
      </c>
      <c r="G168" s="218">
        <v>0</v>
      </c>
      <c r="H168" s="77">
        <f>F168*AM168</f>
        <v>0</v>
      </c>
      <c r="I168" s="77">
        <f>F168*AN168</f>
        <v>0</v>
      </c>
      <c r="J168" s="77">
        <f>F168*G168</f>
        <v>0</v>
      </c>
      <c r="K168" s="77">
        <v>0</v>
      </c>
      <c r="L168" s="77">
        <f>F168*K168</f>
        <v>0</v>
      </c>
      <c r="M168" s="103" t="s">
        <v>35</v>
      </c>
      <c r="X168" s="77">
        <f>IF(AO168="5",BH168,0)</f>
        <v>0</v>
      </c>
      <c r="Z168" s="77">
        <f>IF(AO168="1",BF168,0)</f>
        <v>0</v>
      </c>
      <c r="AA168" s="77">
        <f>IF(AO168="1",BG168,0)</f>
        <v>0</v>
      </c>
      <c r="AB168" s="77">
        <f>IF(AO168="7",BF168,0)</f>
        <v>0</v>
      </c>
      <c r="AC168" s="77">
        <f>IF(AO168="7",BG168,0)</f>
        <v>0</v>
      </c>
      <c r="AD168" s="77">
        <f>IF(AO168="2",BF168,0)</f>
        <v>0</v>
      </c>
      <c r="AE168" s="77">
        <f>IF(AO168="2",BG168,0)</f>
        <v>0</v>
      </c>
      <c r="AF168" s="77">
        <f>IF(AO168="0",BH168,0)</f>
        <v>0</v>
      </c>
      <c r="AG168" s="71" t="s">
        <v>129</v>
      </c>
      <c r="AH168" s="77">
        <f>IF(AL168=0,J168,0)</f>
        <v>0</v>
      </c>
      <c r="AI168" s="77">
        <f>IF(AL168=15,J168,0)</f>
        <v>0</v>
      </c>
      <c r="AJ168" s="77">
        <f>IF(AL168=21,J168,0)</f>
        <v>0</v>
      </c>
      <c r="AL168" s="77">
        <v>21</v>
      </c>
      <c r="AM168" s="77">
        <f>G168*0</f>
        <v>0</v>
      </c>
      <c r="AN168" s="77">
        <f>G168*(1-0)</f>
        <v>0</v>
      </c>
      <c r="AO168" s="79" t="s">
        <v>158</v>
      </c>
      <c r="AT168" s="77">
        <f>AU168+AV168</f>
        <v>0</v>
      </c>
      <c r="AU168" s="77">
        <f>F168*AM168</f>
        <v>0</v>
      </c>
      <c r="AV168" s="77">
        <f>F168*AN168</f>
        <v>0</v>
      </c>
      <c r="AW168" s="79" t="s">
        <v>589</v>
      </c>
      <c r="AX168" s="79" t="s">
        <v>384</v>
      </c>
      <c r="AY168" s="71" t="s">
        <v>137</v>
      </c>
      <c r="BA168" s="77">
        <f>AU168+AV168</f>
        <v>0</v>
      </c>
      <c r="BB168" s="77">
        <f>G168/(100-BC168)*100</f>
        <v>0</v>
      </c>
      <c r="BC168" s="77">
        <v>0</v>
      </c>
      <c r="BD168" s="77">
        <f>L168</f>
        <v>0</v>
      </c>
      <c r="BF168" s="77">
        <f>F168*AM168</f>
        <v>0</v>
      </c>
      <c r="BG168" s="77">
        <f>F168*AN168</f>
        <v>0</v>
      </c>
      <c r="BH168" s="77">
        <f>F168*G168</f>
        <v>0</v>
      </c>
      <c r="BI168" s="77"/>
      <c r="BJ168" s="77"/>
      <c r="BU168" s="77" t="e">
        <f>#REF!</f>
        <v>#REF!</v>
      </c>
      <c r="BV168" s="70" t="s">
        <v>588</v>
      </c>
    </row>
    <row r="169" spans="1:74" x14ac:dyDescent="0.25">
      <c r="A169" s="105" t="s">
        <v>129</v>
      </c>
      <c r="B169" s="74" t="s">
        <v>590</v>
      </c>
      <c r="C169" s="314" t="s">
        <v>591</v>
      </c>
      <c r="D169" s="315"/>
      <c r="E169" s="75" t="s">
        <v>87</v>
      </c>
      <c r="F169" s="75" t="s">
        <v>87</v>
      </c>
      <c r="G169" s="75" t="s">
        <v>87</v>
      </c>
      <c r="H169" s="67">
        <f>SUM(H170:H170)</f>
        <v>0</v>
      </c>
      <c r="I169" s="67">
        <f>SUM(I170:I170)</f>
        <v>0</v>
      </c>
      <c r="J169" s="67">
        <f>SUM(J170:J170)</f>
        <v>0</v>
      </c>
      <c r="K169" s="71" t="s">
        <v>129</v>
      </c>
      <c r="L169" s="67">
        <f>SUM(L170:L170)</f>
        <v>0</v>
      </c>
      <c r="M169" s="106" t="s">
        <v>129</v>
      </c>
      <c r="AG169" s="71" t="s">
        <v>129</v>
      </c>
      <c r="AQ169" s="67">
        <f>SUM(AH170:AH170)</f>
        <v>0</v>
      </c>
      <c r="AR169" s="67">
        <f>SUM(AI170:AI170)</f>
        <v>0</v>
      </c>
      <c r="AS169" s="67">
        <f>SUM(AJ170:AJ170)</f>
        <v>0</v>
      </c>
    </row>
    <row r="170" spans="1:74" x14ac:dyDescent="0.25">
      <c r="A170" s="92" t="s">
        <v>461</v>
      </c>
      <c r="B170" s="69" t="s">
        <v>279</v>
      </c>
      <c r="C170" s="306" t="s">
        <v>280</v>
      </c>
      <c r="D170" s="307"/>
      <c r="E170" s="69" t="s">
        <v>281</v>
      </c>
      <c r="F170" s="77">
        <v>4.3600000000000003</v>
      </c>
      <c r="G170" s="218">
        <v>0</v>
      </c>
      <c r="H170" s="77">
        <f>F170*AM170</f>
        <v>0</v>
      </c>
      <c r="I170" s="77">
        <f>F170*AN170</f>
        <v>0</v>
      </c>
      <c r="J170" s="77">
        <f>F170*G170</f>
        <v>0</v>
      </c>
      <c r="K170" s="77">
        <v>0</v>
      </c>
      <c r="L170" s="77">
        <f>F170*K170</f>
        <v>0</v>
      </c>
      <c r="M170" s="103" t="s">
        <v>35</v>
      </c>
      <c r="X170" s="77">
        <f>IF(AO170="5",BH170,0)</f>
        <v>0</v>
      </c>
      <c r="Z170" s="77">
        <f>IF(AO170="1",BF170,0)</f>
        <v>0</v>
      </c>
      <c r="AA170" s="77">
        <f>IF(AO170="1",BG170,0)</f>
        <v>0</v>
      </c>
      <c r="AB170" s="77">
        <f>IF(AO170="7",BF170,0)</f>
        <v>0</v>
      </c>
      <c r="AC170" s="77">
        <f>IF(AO170="7",BG170,0)</f>
        <v>0</v>
      </c>
      <c r="AD170" s="77">
        <f>IF(AO170="2",BF170,0)</f>
        <v>0</v>
      </c>
      <c r="AE170" s="77">
        <f>IF(AO170="2",BG170,0)</f>
        <v>0</v>
      </c>
      <c r="AF170" s="77">
        <f>IF(AO170="0",BH170,0)</f>
        <v>0</v>
      </c>
      <c r="AG170" s="71" t="s">
        <v>129</v>
      </c>
      <c r="AH170" s="77">
        <f>IF(AL170=0,J170,0)</f>
        <v>0</v>
      </c>
      <c r="AI170" s="77">
        <f>IF(AL170=15,J170,0)</f>
        <v>0</v>
      </c>
      <c r="AJ170" s="77">
        <f>IF(AL170=21,J170,0)</f>
        <v>0</v>
      </c>
      <c r="AL170" s="77">
        <v>21</v>
      </c>
      <c r="AM170" s="77">
        <f>G170*0</f>
        <v>0</v>
      </c>
      <c r="AN170" s="77">
        <f>G170*(1-0)</f>
        <v>0</v>
      </c>
      <c r="AO170" s="79" t="s">
        <v>158</v>
      </c>
      <c r="AT170" s="77">
        <f>AU170+AV170</f>
        <v>0</v>
      </c>
      <c r="AU170" s="77">
        <f>F170*AM170</f>
        <v>0</v>
      </c>
      <c r="AV170" s="77">
        <f>F170*AN170</f>
        <v>0</v>
      </c>
      <c r="AW170" s="79" t="s">
        <v>592</v>
      </c>
      <c r="AX170" s="79" t="s">
        <v>384</v>
      </c>
      <c r="AY170" s="71" t="s">
        <v>137</v>
      </c>
      <c r="BA170" s="77">
        <f>AU170+AV170</f>
        <v>0</v>
      </c>
      <c r="BB170" s="77">
        <f>G170/(100-BC170)*100</f>
        <v>0</v>
      </c>
      <c r="BC170" s="77">
        <v>0</v>
      </c>
      <c r="BD170" s="77">
        <f>L170</f>
        <v>0</v>
      </c>
      <c r="BF170" s="77">
        <f>F170*AM170</f>
        <v>0</v>
      </c>
      <c r="BG170" s="77">
        <f>F170*AN170</f>
        <v>0</v>
      </c>
      <c r="BH170" s="77">
        <f>F170*G170</f>
        <v>0</v>
      </c>
      <c r="BI170" s="77"/>
      <c r="BJ170" s="77"/>
      <c r="BU170" s="77" t="e">
        <f>#REF!</f>
        <v>#REF!</v>
      </c>
      <c r="BV170" s="70" t="s">
        <v>280</v>
      </c>
    </row>
    <row r="171" spans="1:74" x14ac:dyDescent="0.25">
      <c r="A171" s="105" t="s">
        <v>129</v>
      </c>
      <c r="B171" s="74" t="s">
        <v>593</v>
      </c>
      <c r="C171" s="314" t="s">
        <v>594</v>
      </c>
      <c r="D171" s="315"/>
      <c r="E171" s="75" t="s">
        <v>87</v>
      </c>
      <c r="F171" s="75" t="s">
        <v>87</v>
      </c>
      <c r="G171" s="75" t="s">
        <v>87</v>
      </c>
      <c r="H171" s="67">
        <f>SUM(H172:H172)</f>
        <v>0</v>
      </c>
      <c r="I171" s="67">
        <f>SUM(I172:I172)</f>
        <v>0</v>
      </c>
      <c r="J171" s="67">
        <f>SUM(J172:J172)</f>
        <v>0</v>
      </c>
      <c r="K171" s="71" t="s">
        <v>129</v>
      </c>
      <c r="L171" s="67">
        <f>SUM(L172:L172)</f>
        <v>0</v>
      </c>
      <c r="M171" s="106" t="s">
        <v>129</v>
      </c>
      <c r="AG171" s="71" t="s">
        <v>129</v>
      </c>
      <c r="AQ171" s="67">
        <f>SUM(AH172:AH172)</f>
        <v>0</v>
      </c>
      <c r="AR171" s="67">
        <f>SUM(AI172:AI172)</f>
        <v>0</v>
      </c>
      <c r="AS171" s="67">
        <f>SUM(AJ172:AJ172)</f>
        <v>0</v>
      </c>
    </row>
    <row r="172" spans="1:74" x14ac:dyDescent="0.25">
      <c r="A172" s="92" t="s">
        <v>464</v>
      </c>
      <c r="B172" s="69" t="s">
        <v>595</v>
      </c>
      <c r="C172" s="306" t="s">
        <v>596</v>
      </c>
      <c r="D172" s="307"/>
      <c r="E172" s="69" t="s">
        <v>145</v>
      </c>
      <c r="F172" s="77">
        <v>13.64</v>
      </c>
      <c r="G172" s="218">
        <v>0</v>
      </c>
      <c r="H172" s="77">
        <f>F172*AM172</f>
        <v>0</v>
      </c>
      <c r="I172" s="77">
        <f>F172*AN172</f>
        <v>0</v>
      </c>
      <c r="J172" s="77">
        <f>F172*G172</f>
        <v>0</v>
      </c>
      <c r="K172" s="77">
        <v>0</v>
      </c>
      <c r="L172" s="77">
        <f>F172*K172</f>
        <v>0</v>
      </c>
      <c r="M172" s="103" t="s">
        <v>35</v>
      </c>
      <c r="X172" s="77">
        <f>IF(AO172="5",BH172,0)</f>
        <v>0</v>
      </c>
      <c r="Z172" s="77">
        <f>IF(AO172="1",BF172,0)</f>
        <v>0</v>
      </c>
      <c r="AA172" s="77">
        <f>IF(AO172="1",BG172,0)</f>
        <v>0</v>
      </c>
      <c r="AB172" s="77">
        <f>IF(AO172="7",BF172,0)</f>
        <v>0</v>
      </c>
      <c r="AC172" s="77">
        <f>IF(AO172="7",BG172,0)</f>
        <v>0</v>
      </c>
      <c r="AD172" s="77">
        <f>IF(AO172="2",BF172,0)</f>
        <v>0</v>
      </c>
      <c r="AE172" s="77">
        <f>IF(AO172="2",BG172,0)</f>
        <v>0</v>
      </c>
      <c r="AF172" s="77">
        <f>IF(AO172="0",BH172,0)</f>
        <v>0</v>
      </c>
      <c r="AG172" s="71" t="s">
        <v>129</v>
      </c>
      <c r="AH172" s="77">
        <f>IF(AL172=0,J172,0)</f>
        <v>0</v>
      </c>
      <c r="AI172" s="77">
        <f>IF(AL172=15,J172,0)</f>
        <v>0</v>
      </c>
      <c r="AJ172" s="77">
        <f>IF(AL172=21,J172,0)</f>
        <v>0</v>
      </c>
      <c r="AL172" s="77">
        <v>21</v>
      </c>
      <c r="AM172" s="77">
        <f>G172*0</f>
        <v>0</v>
      </c>
      <c r="AN172" s="77">
        <f>G172*(1-0)</f>
        <v>0</v>
      </c>
      <c r="AO172" s="79" t="s">
        <v>142</v>
      </c>
      <c r="AT172" s="77">
        <f>AU172+AV172</f>
        <v>0</v>
      </c>
      <c r="AU172" s="77">
        <f>F172*AM172</f>
        <v>0</v>
      </c>
      <c r="AV172" s="77">
        <f>F172*AN172</f>
        <v>0</v>
      </c>
      <c r="AW172" s="79" t="s">
        <v>597</v>
      </c>
      <c r="AX172" s="79" t="s">
        <v>384</v>
      </c>
      <c r="AY172" s="71" t="s">
        <v>137</v>
      </c>
      <c r="BA172" s="77">
        <f>AU172+AV172</f>
        <v>0</v>
      </c>
      <c r="BB172" s="77">
        <f>G172/(100-BC172)*100</f>
        <v>0</v>
      </c>
      <c r="BC172" s="77">
        <v>0</v>
      </c>
      <c r="BD172" s="77">
        <f>L172</f>
        <v>0</v>
      </c>
      <c r="BF172" s="77">
        <f>F172*AM172</f>
        <v>0</v>
      </c>
      <c r="BG172" s="77">
        <f>F172*AN172</f>
        <v>0</v>
      </c>
      <c r="BH172" s="77">
        <f>F172*G172</f>
        <v>0</v>
      </c>
      <c r="BI172" s="77"/>
      <c r="BJ172" s="77"/>
      <c r="BU172" s="77" t="e">
        <f>#REF!</f>
        <v>#REF!</v>
      </c>
      <c r="BV172" s="70" t="s">
        <v>596</v>
      </c>
    </row>
    <row r="173" spans="1:74" ht="40.5" customHeight="1" x14ac:dyDescent="0.25">
      <c r="A173" s="104"/>
      <c r="B173" s="81" t="s">
        <v>138</v>
      </c>
      <c r="C173" s="303" t="s">
        <v>801</v>
      </c>
      <c r="D173" s="304"/>
      <c r="E173" s="304"/>
      <c r="F173" s="304"/>
      <c r="G173" s="304"/>
      <c r="H173" s="304"/>
      <c r="I173" s="304"/>
      <c r="J173" s="304"/>
      <c r="K173" s="304"/>
      <c r="L173" s="304"/>
      <c r="M173" s="305"/>
    </row>
    <row r="174" spans="1:74" x14ac:dyDescent="0.25">
      <c r="A174" s="105" t="s">
        <v>129</v>
      </c>
      <c r="B174" s="74" t="s">
        <v>605</v>
      </c>
      <c r="C174" s="314" t="s">
        <v>606</v>
      </c>
      <c r="D174" s="315"/>
      <c r="E174" s="75" t="s">
        <v>87</v>
      </c>
      <c r="F174" s="75" t="s">
        <v>87</v>
      </c>
      <c r="G174" s="75" t="s">
        <v>87</v>
      </c>
      <c r="H174" s="67">
        <f>SUM(H175:H175)</f>
        <v>0</v>
      </c>
      <c r="I174" s="67">
        <f>SUM(I175:I175)</f>
        <v>0</v>
      </c>
      <c r="J174" s="67">
        <f>SUM(J175:J175)</f>
        <v>0</v>
      </c>
      <c r="K174" s="71" t="s">
        <v>129</v>
      </c>
      <c r="L174" s="67">
        <f>SUM(L175:L175)</f>
        <v>0</v>
      </c>
      <c r="M174" s="106" t="s">
        <v>129</v>
      </c>
      <c r="AG174" s="71" t="s">
        <v>129</v>
      </c>
      <c r="AQ174" s="67">
        <f>SUM(AH175:AH175)</f>
        <v>0</v>
      </c>
      <c r="AR174" s="67">
        <f>SUM(AI175:AI175)</f>
        <v>0</v>
      </c>
      <c r="AS174" s="67">
        <f>SUM(AJ175:AJ175)</f>
        <v>0</v>
      </c>
    </row>
    <row r="175" spans="1:74" x14ac:dyDescent="0.25">
      <c r="A175" s="92" t="s">
        <v>467</v>
      </c>
      <c r="B175" s="69" t="s">
        <v>802</v>
      </c>
      <c r="C175" s="306" t="s">
        <v>803</v>
      </c>
      <c r="D175" s="307"/>
      <c r="E175" s="69" t="s">
        <v>325</v>
      </c>
      <c r="F175" s="77">
        <v>1</v>
      </c>
      <c r="G175" s="218">
        <v>0</v>
      </c>
      <c r="H175" s="77">
        <f>F175*AM175</f>
        <v>0</v>
      </c>
      <c r="I175" s="77">
        <f>F175*AN175</f>
        <v>0</v>
      </c>
      <c r="J175" s="77">
        <f>F175*G175</f>
        <v>0</v>
      </c>
      <c r="K175" s="77">
        <v>0</v>
      </c>
      <c r="L175" s="77">
        <f>F175*K175</f>
        <v>0</v>
      </c>
      <c r="M175" s="103" t="s">
        <v>35</v>
      </c>
      <c r="X175" s="77">
        <f>IF(AO175="5",BH175,0)</f>
        <v>0</v>
      </c>
      <c r="Z175" s="77">
        <f>IF(AO175="1",BF175,0)</f>
        <v>0</v>
      </c>
      <c r="AA175" s="77">
        <f>IF(AO175="1",BG175,0)</f>
        <v>0</v>
      </c>
      <c r="AB175" s="77">
        <f>IF(AO175="7",BF175,0)</f>
        <v>0</v>
      </c>
      <c r="AC175" s="77">
        <f>IF(AO175="7",BG175,0)</f>
        <v>0</v>
      </c>
      <c r="AD175" s="77">
        <f>IF(AO175="2",BF175,0)</f>
        <v>0</v>
      </c>
      <c r="AE175" s="77">
        <f>IF(AO175="2",BG175,0)</f>
        <v>0</v>
      </c>
      <c r="AF175" s="77">
        <f>IF(AO175="0",BH175,0)</f>
        <v>0</v>
      </c>
      <c r="AG175" s="71" t="s">
        <v>129</v>
      </c>
      <c r="AH175" s="77">
        <f>IF(AL175=0,J175,0)</f>
        <v>0</v>
      </c>
      <c r="AI175" s="77">
        <f>IF(AL175=15,J175,0)</f>
        <v>0</v>
      </c>
      <c r="AJ175" s="77">
        <f>IF(AL175=21,J175,0)</f>
        <v>0</v>
      </c>
      <c r="AL175" s="77">
        <v>21</v>
      </c>
      <c r="AM175" s="77">
        <f>G175*0</f>
        <v>0</v>
      </c>
      <c r="AN175" s="77">
        <f>G175*(1-0)</f>
        <v>0</v>
      </c>
      <c r="AO175" s="79" t="s">
        <v>142</v>
      </c>
      <c r="AT175" s="77">
        <f>AU175+AV175</f>
        <v>0</v>
      </c>
      <c r="AU175" s="77">
        <f>F175*AM175</f>
        <v>0</v>
      </c>
      <c r="AV175" s="77">
        <f>F175*AN175</f>
        <v>0</v>
      </c>
      <c r="AW175" s="79" t="s">
        <v>609</v>
      </c>
      <c r="AX175" s="79" t="s">
        <v>384</v>
      </c>
      <c r="AY175" s="71" t="s">
        <v>137</v>
      </c>
      <c r="BA175" s="77">
        <f>AU175+AV175</f>
        <v>0</v>
      </c>
      <c r="BB175" s="77">
        <f>G175/(100-BC175)*100</f>
        <v>0</v>
      </c>
      <c r="BC175" s="77">
        <v>0</v>
      </c>
      <c r="BD175" s="77">
        <f>L175</f>
        <v>0</v>
      </c>
      <c r="BF175" s="77">
        <f>F175*AM175</f>
        <v>0</v>
      </c>
      <c r="BG175" s="77">
        <f>F175*AN175</f>
        <v>0</v>
      </c>
      <c r="BH175" s="77">
        <f>F175*G175</f>
        <v>0</v>
      </c>
      <c r="BI175" s="77"/>
      <c r="BJ175" s="77"/>
      <c r="BU175" s="77" t="e">
        <f>#REF!</f>
        <v>#REF!</v>
      </c>
      <c r="BV175" s="70" t="s">
        <v>803</v>
      </c>
    </row>
    <row r="176" spans="1:74" ht="27" customHeight="1" x14ac:dyDescent="0.25">
      <c r="A176" s="104"/>
      <c r="B176" s="81" t="s">
        <v>138</v>
      </c>
      <c r="C176" s="303" t="s">
        <v>804</v>
      </c>
      <c r="D176" s="304"/>
      <c r="E176" s="304"/>
      <c r="F176" s="304"/>
      <c r="G176" s="304"/>
      <c r="H176" s="304"/>
      <c r="I176" s="304"/>
      <c r="J176" s="304"/>
      <c r="K176" s="304"/>
      <c r="L176" s="304"/>
      <c r="M176" s="305"/>
    </row>
    <row r="177" spans="1:74" x14ac:dyDescent="0.25">
      <c r="A177" s="105" t="s">
        <v>129</v>
      </c>
      <c r="B177" s="74" t="s">
        <v>611</v>
      </c>
      <c r="C177" s="314" t="s">
        <v>606</v>
      </c>
      <c r="D177" s="315"/>
      <c r="E177" s="75" t="s">
        <v>87</v>
      </c>
      <c r="F177" s="75" t="s">
        <v>87</v>
      </c>
      <c r="G177" s="75" t="s">
        <v>87</v>
      </c>
      <c r="H177" s="67">
        <f>SUM(H178:H180)</f>
        <v>0</v>
      </c>
      <c r="I177" s="67">
        <f>SUM(I178:I180)</f>
        <v>0</v>
      </c>
      <c r="J177" s="67">
        <f>SUM(J178:J180)</f>
        <v>0</v>
      </c>
      <c r="K177" s="71" t="s">
        <v>129</v>
      </c>
      <c r="L177" s="67">
        <f>SUM(L178:L180)</f>
        <v>0</v>
      </c>
      <c r="M177" s="106" t="s">
        <v>129</v>
      </c>
      <c r="AG177" s="71" t="s">
        <v>129</v>
      </c>
      <c r="AQ177" s="67">
        <f>SUM(AH178:AH180)</f>
        <v>0</v>
      </c>
      <c r="AR177" s="67">
        <f>SUM(AI178:AI180)</f>
        <v>0</v>
      </c>
      <c r="AS177" s="67">
        <f>SUM(AJ178:AJ180)</f>
        <v>0</v>
      </c>
    </row>
    <row r="178" spans="1:74" x14ac:dyDescent="0.25">
      <c r="A178" s="92" t="s">
        <v>471</v>
      </c>
      <c r="B178" s="69" t="s">
        <v>616</v>
      </c>
      <c r="C178" s="306" t="s">
        <v>617</v>
      </c>
      <c r="D178" s="307"/>
      <c r="E178" s="69" t="s">
        <v>482</v>
      </c>
      <c r="F178" s="77">
        <v>2</v>
      </c>
      <c r="G178" s="218">
        <v>0</v>
      </c>
      <c r="H178" s="77">
        <f>F178*AM178</f>
        <v>0</v>
      </c>
      <c r="I178" s="77">
        <f>F178*AN178</f>
        <v>0</v>
      </c>
      <c r="J178" s="77">
        <f>F178*G178</f>
        <v>0</v>
      </c>
      <c r="K178" s="77">
        <v>0</v>
      </c>
      <c r="L178" s="77">
        <f>F178*K178</f>
        <v>0</v>
      </c>
      <c r="M178" s="103" t="s">
        <v>35</v>
      </c>
      <c r="X178" s="77">
        <f>IF(AO178="5",BH178,0)</f>
        <v>0</v>
      </c>
      <c r="Z178" s="77">
        <f>IF(AO178="1",BF178,0)</f>
        <v>0</v>
      </c>
      <c r="AA178" s="77">
        <f>IF(AO178="1",BG178,0)</f>
        <v>0</v>
      </c>
      <c r="AB178" s="77">
        <f>IF(AO178="7",BF178,0)</f>
        <v>0</v>
      </c>
      <c r="AC178" s="77">
        <f>IF(AO178="7",BG178,0)</f>
        <v>0</v>
      </c>
      <c r="AD178" s="77">
        <f>IF(AO178="2",BF178,0)</f>
        <v>0</v>
      </c>
      <c r="AE178" s="77">
        <f>IF(AO178="2",BG178,0)</f>
        <v>0</v>
      </c>
      <c r="AF178" s="77">
        <f>IF(AO178="0",BH178,0)</f>
        <v>0</v>
      </c>
      <c r="AG178" s="71" t="s">
        <v>129</v>
      </c>
      <c r="AH178" s="77">
        <f>IF(AL178=0,J178,0)</f>
        <v>0</v>
      </c>
      <c r="AI178" s="77">
        <f>IF(AL178=15,J178,0)</f>
        <v>0</v>
      </c>
      <c r="AJ178" s="77">
        <f>IF(AL178=21,J178,0)</f>
        <v>0</v>
      </c>
      <c r="AL178" s="77">
        <v>21</v>
      </c>
      <c r="AM178" s="77">
        <f>G178*0.302862419</f>
        <v>0</v>
      </c>
      <c r="AN178" s="77">
        <f>G178*(1-0.302862419)</f>
        <v>0</v>
      </c>
      <c r="AO178" s="79" t="s">
        <v>142</v>
      </c>
      <c r="AT178" s="77">
        <f>AU178+AV178</f>
        <v>0</v>
      </c>
      <c r="AU178" s="77">
        <f>F178*AM178</f>
        <v>0</v>
      </c>
      <c r="AV178" s="77">
        <f>F178*AN178</f>
        <v>0</v>
      </c>
      <c r="AW178" s="79" t="s">
        <v>614</v>
      </c>
      <c r="AX178" s="79" t="s">
        <v>384</v>
      </c>
      <c r="AY178" s="71" t="s">
        <v>137</v>
      </c>
      <c r="BA178" s="77">
        <f>AU178+AV178</f>
        <v>0</v>
      </c>
      <c r="BB178" s="77">
        <f>G178/(100-BC178)*100</f>
        <v>0</v>
      </c>
      <c r="BC178" s="77">
        <v>0</v>
      </c>
      <c r="BD178" s="77">
        <f>L178</f>
        <v>0</v>
      </c>
      <c r="BF178" s="77">
        <f>F178*AM178</f>
        <v>0</v>
      </c>
      <c r="BG178" s="77">
        <f>F178*AN178</f>
        <v>0</v>
      </c>
      <c r="BH178" s="77">
        <f>F178*G178</f>
        <v>0</v>
      </c>
      <c r="BI178" s="77"/>
      <c r="BJ178" s="77"/>
      <c r="BU178" s="77" t="e">
        <f>#REF!</f>
        <v>#REF!</v>
      </c>
      <c r="BV178" s="70" t="s">
        <v>617</v>
      </c>
    </row>
    <row r="179" spans="1:74" ht="40.5" customHeight="1" x14ac:dyDescent="0.25">
      <c r="A179" s="104"/>
      <c r="B179" s="81" t="s">
        <v>138</v>
      </c>
      <c r="C179" s="303" t="s">
        <v>618</v>
      </c>
      <c r="D179" s="304"/>
      <c r="E179" s="304"/>
      <c r="F179" s="304"/>
      <c r="G179" s="304"/>
      <c r="H179" s="304"/>
      <c r="I179" s="304"/>
      <c r="J179" s="304"/>
      <c r="K179" s="304"/>
      <c r="L179" s="304"/>
      <c r="M179" s="305"/>
    </row>
    <row r="180" spans="1:74" ht="25.5" x14ac:dyDescent="0.25">
      <c r="A180" s="92" t="s">
        <v>633</v>
      </c>
      <c r="B180" s="69" t="s">
        <v>619</v>
      </c>
      <c r="C180" s="306" t="s">
        <v>620</v>
      </c>
      <c r="D180" s="307"/>
      <c r="E180" s="69" t="s">
        <v>145</v>
      </c>
      <c r="F180" s="77">
        <v>14.26</v>
      </c>
      <c r="G180" s="218">
        <v>0</v>
      </c>
      <c r="H180" s="77">
        <f>F180*AM180</f>
        <v>0</v>
      </c>
      <c r="I180" s="77">
        <f>F180*AN180</f>
        <v>0</v>
      </c>
      <c r="J180" s="77">
        <f>F180*G180</f>
        <v>0</v>
      </c>
      <c r="K180" s="77">
        <v>0</v>
      </c>
      <c r="L180" s="77">
        <f>F180*K180</f>
        <v>0</v>
      </c>
      <c r="M180" s="103" t="s">
        <v>35</v>
      </c>
      <c r="X180" s="77">
        <f>IF(AO180="5",BH180,0)</f>
        <v>0</v>
      </c>
      <c r="Z180" s="77">
        <f>IF(AO180="1",BF180,0)</f>
        <v>0</v>
      </c>
      <c r="AA180" s="77">
        <f>IF(AO180="1",BG180,0)</f>
        <v>0</v>
      </c>
      <c r="AB180" s="77">
        <f>IF(AO180="7",BF180,0)</f>
        <v>0</v>
      </c>
      <c r="AC180" s="77">
        <f>IF(AO180="7",BG180,0)</f>
        <v>0</v>
      </c>
      <c r="AD180" s="77">
        <f>IF(AO180="2",BF180,0)</f>
        <v>0</v>
      </c>
      <c r="AE180" s="77">
        <f>IF(AO180="2",BG180,0)</f>
        <v>0</v>
      </c>
      <c r="AF180" s="77">
        <f>IF(AO180="0",BH180,0)</f>
        <v>0</v>
      </c>
      <c r="AG180" s="71" t="s">
        <v>129</v>
      </c>
      <c r="AH180" s="77">
        <f>IF(AL180=0,J180,0)</f>
        <v>0</v>
      </c>
      <c r="AI180" s="77">
        <f>IF(AL180=15,J180,0)</f>
        <v>0</v>
      </c>
      <c r="AJ180" s="77">
        <f>IF(AL180=21,J180,0)</f>
        <v>0</v>
      </c>
      <c r="AL180" s="77">
        <v>21</v>
      </c>
      <c r="AM180" s="77">
        <f>G180*0.811989101</f>
        <v>0</v>
      </c>
      <c r="AN180" s="77">
        <f>G180*(1-0.811989101)</f>
        <v>0</v>
      </c>
      <c r="AO180" s="79" t="s">
        <v>142</v>
      </c>
      <c r="AT180" s="77">
        <f>AU180+AV180</f>
        <v>0</v>
      </c>
      <c r="AU180" s="77">
        <f>F180*AM180</f>
        <v>0</v>
      </c>
      <c r="AV180" s="77">
        <f>F180*AN180</f>
        <v>0</v>
      </c>
      <c r="AW180" s="79" t="s">
        <v>614</v>
      </c>
      <c r="AX180" s="79" t="s">
        <v>384</v>
      </c>
      <c r="AY180" s="71" t="s">
        <v>137</v>
      </c>
      <c r="BA180" s="77">
        <f>AU180+AV180</f>
        <v>0</v>
      </c>
      <c r="BB180" s="77">
        <f>G180/(100-BC180)*100</f>
        <v>0</v>
      </c>
      <c r="BC180" s="77">
        <v>0</v>
      </c>
      <c r="BD180" s="77">
        <f>L180</f>
        <v>0</v>
      </c>
      <c r="BF180" s="77">
        <f>F180*AM180</f>
        <v>0</v>
      </c>
      <c r="BG180" s="77">
        <f>F180*AN180</f>
        <v>0</v>
      </c>
      <c r="BH180" s="77">
        <f>F180*G180</f>
        <v>0</v>
      </c>
      <c r="BI180" s="77"/>
      <c r="BJ180" s="77"/>
      <c r="BU180" s="77" t="e">
        <f>#REF!</f>
        <v>#REF!</v>
      </c>
      <c r="BV180" s="70" t="s">
        <v>620</v>
      </c>
    </row>
    <row r="181" spans="1:74" ht="67.5" customHeight="1" thickBot="1" x14ac:dyDescent="0.3">
      <c r="A181" s="107"/>
      <c r="B181" s="108" t="s">
        <v>138</v>
      </c>
      <c r="C181" s="308" t="s">
        <v>805</v>
      </c>
      <c r="D181" s="309"/>
      <c r="E181" s="309"/>
      <c r="F181" s="309"/>
      <c r="G181" s="309"/>
      <c r="H181" s="309"/>
      <c r="I181" s="309"/>
      <c r="J181" s="309"/>
      <c r="K181" s="309"/>
      <c r="L181" s="309"/>
      <c r="M181" s="310"/>
    </row>
    <row r="182" spans="1:74" x14ac:dyDescent="0.25">
      <c r="A182" s="97" t="s">
        <v>129</v>
      </c>
      <c r="B182" s="98" t="s">
        <v>413</v>
      </c>
      <c r="C182" s="318" t="s">
        <v>414</v>
      </c>
      <c r="D182" s="319"/>
      <c r="E182" s="99" t="s">
        <v>87</v>
      </c>
      <c r="F182" s="99" t="s">
        <v>87</v>
      </c>
      <c r="G182" s="99" t="s">
        <v>87</v>
      </c>
      <c r="H182" s="100">
        <f>SUM(H183:H201)</f>
        <v>0</v>
      </c>
      <c r="I182" s="100">
        <f>SUM(I183:I201)</f>
        <v>0</v>
      </c>
      <c r="J182" s="100">
        <f>SUM(J183:J201)</f>
        <v>0</v>
      </c>
      <c r="K182" s="101" t="s">
        <v>129</v>
      </c>
      <c r="L182" s="100">
        <f>SUM(L183:L201)</f>
        <v>1.1561631999999999</v>
      </c>
      <c r="M182" s="102" t="s">
        <v>129</v>
      </c>
      <c r="AG182" s="71" t="s">
        <v>129</v>
      </c>
      <c r="AQ182" s="67">
        <f>SUM(AH183:AH201)</f>
        <v>0</v>
      </c>
      <c r="AR182" s="67">
        <f>SUM(AI183:AI201)</f>
        <v>0</v>
      </c>
      <c r="AS182" s="67">
        <f>SUM(AJ183:AJ201)</f>
        <v>0</v>
      </c>
    </row>
    <row r="183" spans="1:74" x14ac:dyDescent="0.25">
      <c r="A183" s="92" t="s">
        <v>636</v>
      </c>
      <c r="B183" s="69" t="s">
        <v>622</v>
      </c>
      <c r="C183" s="306" t="s">
        <v>623</v>
      </c>
      <c r="D183" s="307"/>
      <c r="E183" s="69" t="s">
        <v>145</v>
      </c>
      <c r="F183" s="77">
        <v>13.02</v>
      </c>
      <c r="G183" s="218">
        <v>0</v>
      </c>
      <c r="H183" s="77">
        <f>F183*AM183</f>
        <v>0</v>
      </c>
      <c r="I183" s="77">
        <f>F183*AN183</f>
        <v>0</v>
      </c>
      <c r="J183" s="77">
        <f>F183*G183</f>
        <v>0</v>
      </c>
      <c r="K183" s="77">
        <v>1.8599999999999998E-2</v>
      </c>
      <c r="L183" s="77">
        <f>F183*K183</f>
        <v>0.24217199999999997</v>
      </c>
      <c r="M183" s="103" t="s">
        <v>35</v>
      </c>
      <c r="X183" s="77">
        <f>IF(AO183="5",BH183,0)</f>
        <v>0</v>
      </c>
      <c r="Z183" s="77">
        <f>IF(AO183="1",BF183,0)</f>
        <v>0</v>
      </c>
      <c r="AA183" s="77">
        <f>IF(AO183="1",BG183,0)</f>
        <v>0</v>
      </c>
      <c r="AB183" s="77">
        <f>IF(AO183="7",BF183,0)</f>
        <v>0</v>
      </c>
      <c r="AC183" s="77">
        <f>IF(AO183="7",BG183,0)</f>
        <v>0</v>
      </c>
      <c r="AD183" s="77">
        <f>IF(AO183="2",BF183,0)</f>
        <v>0</v>
      </c>
      <c r="AE183" s="77">
        <f>IF(AO183="2",BG183,0)</f>
        <v>0</v>
      </c>
      <c r="AF183" s="77">
        <f>IF(AO183="0",BH183,0)</f>
        <v>0</v>
      </c>
      <c r="AG183" s="71" t="s">
        <v>129</v>
      </c>
      <c r="AH183" s="77">
        <f>IF(AL183=0,J183,0)</f>
        <v>0</v>
      </c>
      <c r="AI183" s="77">
        <f>IF(AL183=15,J183,0)</f>
        <v>0</v>
      </c>
      <c r="AJ183" s="77">
        <f>IF(AL183=21,J183,0)</f>
        <v>0</v>
      </c>
      <c r="AL183" s="77">
        <v>21</v>
      </c>
      <c r="AM183" s="77">
        <f>G183*1</f>
        <v>0</v>
      </c>
      <c r="AN183" s="77">
        <f>G183*(1-1)</f>
        <v>0</v>
      </c>
      <c r="AO183" s="79" t="s">
        <v>130</v>
      </c>
      <c r="AT183" s="77">
        <f>AU183+AV183</f>
        <v>0</v>
      </c>
      <c r="AU183" s="77">
        <f>F183*AM183</f>
        <v>0</v>
      </c>
      <c r="AV183" s="77">
        <f>F183*AN183</f>
        <v>0</v>
      </c>
      <c r="AW183" s="79" t="s">
        <v>416</v>
      </c>
      <c r="AX183" s="79" t="s">
        <v>417</v>
      </c>
      <c r="AY183" s="71" t="s">
        <v>137</v>
      </c>
      <c r="BA183" s="77">
        <f>AU183+AV183</f>
        <v>0</v>
      </c>
      <c r="BB183" s="77">
        <f>G183/(100-BC183)*100</f>
        <v>0</v>
      </c>
      <c r="BC183" s="77">
        <v>0</v>
      </c>
      <c r="BD183" s="77">
        <f>L183</f>
        <v>0.24217199999999997</v>
      </c>
      <c r="BF183" s="77">
        <f>F183*AM183</f>
        <v>0</v>
      </c>
      <c r="BG183" s="77">
        <f>F183*AN183</f>
        <v>0</v>
      </c>
      <c r="BH183" s="77">
        <f>F183*G183</f>
        <v>0</v>
      </c>
      <c r="BI183" s="77"/>
      <c r="BJ183" s="77"/>
      <c r="BU183" s="77" t="e">
        <f>#REF!</f>
        <v>#REF!</v>
      </c>
      <c r="BV183" s="70" t="s">
        <v>623</v>
      </c>
    </row>
    <row r="184" spans="1:74" ht="81" customHeight="1" x14ac:dyDescent="0.25">
      <c r="A184" s="104"/>
      <c r="B184" s="81" t="s">
        <v>138</v>
      </c>
      <c r="C184" s="303" t="s">
        <v>806</v>
      </c>
      <c r="D184" s="304"/>
      <c r="E184" s="304"/>
      <c r="F184" s="304"/>
      <c r="G184" s="304"/>
      <c r="H184" s="304"/>
      <c r="I184" s="304"/>
      <c r="J184" s="304"/>
      <c r="K184" s="304"/>
      <c r="L184" s="304"/>
      <c r="M184" s="305"/>
    </row>
    <row r="185" spans="1:74" x14ac:dyDescent="0.25">
      <c r="A185" s="92" t="s">
        <v>639</v>
      </c>
      <c r="B185" s="69" t="s">
        <v>625</v>
      </c>
      <c r="C185" s="306" t="s">
        <v>626</v>
      </c>
      <c r="D185" s="307"/>
      <c r="E185" s="69" t="s">
        <v>325</v>
      </c>
      <c r="F185" s="77">
        <v>4</v>
      </c>
      <c r="G185" s="218">
        <v>0</v>
      </c>
      <c r="H185" s="77">
        <f t="shared" ref="H185:H195" si="0">F185*AM185</f>
        <v>0</v>
      </c>
      <c r="I185" s="77">
        <f t="shared" ref="I185:I195" si="1">F185*AN185</f>
        <v>0</v>
      </c>
      <c r="J185" s="77">
        <f t="shared" ref="J185:J195" si="2">F185*G185</f>
        <v>0</v>
      </c>
      <c r="K185" s="77">
        <v>7.1000000000000004E-3</v>
      </c>
      <c r="L185" s="77">
        <f t="shared" ref="L185:L195" si="3">F185*K185</f>
        <v>2.8400000000000002E-2</v>
      </c>
      <c r="M185" s="103" t="s">
        <v>35</v>
      </c>
      <c r="X185" s="77">
        <f t="shared" ref="X185:X195" si="4">IF(AO185="5",BH185,0)</f>
        <v>0</v>
      </c>
      <c r="Z185" s="77">
        <f t="shared" ref="Z185:Z195" si="5">IF(AO185="1",BF185,0)</f>
        <v>0</v>
      </c>
      <c r="AA185" s="77">
        <f t="shared" ref="AA185:AA195" si="6">IF(AO185="1",BG185,0)</f>
        <v>0</v>
      </c>
      <c r="AB185" s="77">
        <f t="shared" ref="AB185:AB195" si="7">IF(AO185="7",BF185,0)</f>
        <v>0</v>
      </c>
      <c r="AC185" s="77">
        <f t="shared" ref="AC185:AC195" si="8">IF(AO185="7",BG185,0)</f>
        <v>0</v>
      </c>
      <c r="AD185" s="77">
        <f t="shared" ref="AD185:AD195" si="9">IF(AO185="2",BF185,0)</f>
        <v>0</v>
      </c>
      <c r="AE185" s="77">
        <f t="shared" ref="AE185:AE195" si="10">IF(AO185="2",BG185,0)</f>
        <v>0</v>
      </c>
      <c r="AF185" s="77">
        <f t="shared" ref="AF185:AF195" si="11">IF(AO185="0",BH185,0)</f>
        <v>0</v>
      </c>
      <c r="AG185" s="71" t="s">
        <v>129</v>
      </c>
      <c r="AH185" s="77">
        <f t="shared" ref="AH185:AH195" si="12">IF(AL185=0,J185,0)</f>
        <v>0</v>
      </c>
      <c r="AI185" s="77">
        <f t="shared" ref="AI185:AI195" si="13">IF(AL185=15,J185,0)</f>
        <v>0</v>
      </c>
      <c r="AJ185" s="77">
        <f t="shared" ref="AJ185:AJ195" si="14">IF(AL185=21,J185,0)</f>
        <v>0</v>
      </c>
      <c r="AL185" s="77">
        <v>21</v>
      </c>
      <c r="AM185" s="77">
        <f t="shared" ref="AM185:AM195" si="15">G185*1</f>
        <v>0</v>
      </c>
      <c r="AN185" s="77">
        <f t="shared" ref="AN185:AN195" si="16">G185*(1-1)</f>
        <v>0</v>
      </c>
      <c r="AO185" s="79" t="s">
        <v>130</v>
      </c>
      <c r="AT185" s="77">
        <f t="shared" ref="AT185:AT195" si="17">AU185+AV185</f>
        <v>0</v>
      </c>
      <c r="AU185" s="77">
        <f t="shared" ref="AU185:AU195" si="18">F185*AM185</f>
        <v>0</v>
      </c>
      <c r="AV185" s="77">
        <f t="shared" ref="AV185:AV195" si="19">F185*AN185</f>
        <v>0</v>
      </c>
      <c r="AW185" s="79" t="s">
        <v>416</v>
      </c>
      <c r="AX185" s="79" t="s">
        <v>417</v>
      </c>
      <c r="AY185" s="71" t="s">
        <v>137</v>
      </c>
      <c r="BA185" s="77">
        <f t="shared" ref="BA185:BA195" si="20">AU185+AV185</f>
        <v>0</v>
      </c>
      <c r="BB185" s="77">
        <f t="shared" ref="BB185:BB195" si="21">G185/(100-BC185)*100</f>
        <v>0</v>
      </c>
      <c r="BC185" s="77">
        <v>0</v>
      </c>
      <c r="BD185" s="77">
        <f t="shared" ref="BD185:BD195" si="22">L185</f>
        <v>2.8400000000000002E-2</v>
      </c>
      <c r="BF185" s="77">
        <f t="shared" ref="BF185:BF195" si="23">F185*AM185</f>
        <v>0</v>
      </c>
      <c r="BG185" s="77">
        <f t="shared" ref="BG185:BG195" si="24">F185*AN185</f>
        <v>0</v>
      </c>
      <c r="BH185" s="77">
        <f t="shared" ref="BH185:BH195" si="25">F185*G185</f>
        <v>0</v>
      </c>
      <c r="BI185" s="77"/>
      <c r="BJ185" s="77"/>
      <c r="BU185" s="77" t="e">
        <f>#REF!</f>
        <v>#REF!</v>
      </c>
      <c r="BV185" s="70" t="s">
        <v>626</v>
      </c>
    </row>
    <row r="186" spans="1:74" x14ac:dyDescent="0.25">
      <c r="A186" s="92" t="s">
        <v>642</v>
      </c>
      <c r="B186" s="69" t="s">
        <v>629</v>
      </c>
      <c r="C186" s="306" t="s">
        <v>630</v>
      </c>
      <c r="D186" s="307"/>
      <c r="E186" s="69" t="s">
        <v>325</v>
      </c>
      <c r="F186" s="77">
        <v>1</v>
      </c>
      <c r="G186" s="218">
        <v>0</v>
      </c>
      <c r="H186" s="77">
        <f t="shared" si="0"/>
        <v>0</v>
      </c>
      <c r="I186" s="77">
        <f t="shared" si="1"/>
        <v>0</v>
      </c>
      <c r="J186" s="77">
        <f t="shared" si="2"/>
        <v>0</v>
      </c>
      <c r="K186" s="77">
        <v>6.8999999999999999E-3</v>
      </c>
      <c r="L186" s="77">
        <f t="shared" si="3"/>
        <v>6.8999999999999999E-3</v>
      </c>
      <c r="M186" s="103" t="s">
        <v>35</v>
      </c>
      <c r="X186" s="77">
        <f t="shared" si="4"/>
        <v>0</v>
      </c>
      <c r="Z186" s="77">
        <f t="shared" si="5"/>
        <v>0</v>
      </c>
      <c r="AA186" s="77">
        <f t="shared" si="6"/>
        <v>0</v>
      </c>
      <c r="AB186" s="77">
        <f t="shared" si="7"/>
        <v>0</v>
      </c>
      <c r="AC186" s="77">
        <f t="shared" si="8"/>
        <v>0</v>
      </c>
      <c r="AD186" s="77">
        <f t="shared" si="9"/>
        <v>0</v>
      </c>
      <c r="AE186" s="77">
        <f t="shared" si="10"/>
        <v>0</v>
      </c>
      <c r="AF186" s="77">
        <f t="shared" si="11"/>
        <v>0</v>
      </c>
      <c r="AG186" s="71" t="s">
        <v>129</v>
      </c>
      <c r="AH186" s="77">
        <f t="shared" si="12"/>
        <v>0</v>
      </c>
      <c r="AI186" s="77">
        <f t="shared" si="13"/>
        <v>0</v>
      </c>
      <c r="AJ186" s="77">
        <f t="shared" si="14"/>
        <v>0</v>
      </c>
      <c r="AL186" s="77">
        <v>21</v>
      </c>
      <c r="AM186" s="77">
        <f t="shared" si="15"/>
        <v>0</v>
      </c>
      <c r="AN186" s="77">
        <f t="shared" si="16"/>
        <v>0</v>
      </c>
      <c r="AO186" s="79" t="s">
        <v>130</v>
      </c>
      <c r="AT186" s="77">
        <f t="shared" si="17"/>
        <v>0</v>
      </c>
      <c r="AU186" s="77">
        <f t="shared" si="18"/>
        <v>0</v>
      </c>
      <c r="AV186" s="77">
        <f t="shared" si="19"/>
        <v>0</v>
      </c>
      <c r="AW186" s="79" t="s">
        <v>416</v>
      </c>
      <c r="AX186" s="79" t="s">
        <v>417</v>
      </c>
      <c r="AY186" s="71" t="s">
        <v>137</v>
      </c>
      <c r="BA186" s="77">
        <f t="shared" si="20"/>
        <v>0</v>
      </c>
      <c r="BB186" s="77">
        <f t="shared" si="21"/>
        <v>0</v>
      </c>
      <c r="BC186" s="77">
        <v>0</v>
      </c>
      <c r="BD186" s="77">
        <f t="shared" si="22"/>
        <v>6.8999999999999999E-3</v>
      </c>
      <c r="BF186" s="77">
        <f t="shared" si="23"/>
        <v>0</v>
      </c>
      <c r="BG186" s="77">
        <f t="shared" si="24"/>
        <v>0</v>
      </c>
      <c r="BH186" s="77">
        <f t="shared" si="25"/>
        <v>0</v>
      </c>
      <c r="BI186" s="77"/>
      <c r="BJ186" s="77"/>
      <c r="BU186" s="77" t="e">
        <f>#REF!</f>
        <v>#REF!</v>
      </c>
      <c r="BV186" s="70" t="s">
        <v>630</v>
      </c>
    </row>
    <row r="187" spans="1:74" x14ac:dyDescent="0.25">
      <c r="A187" s="92" t="s">
        <v>645</v>
      </c>
      <c r="B187" s="69" t="s">
        <v>631</v>
      </c>
      <c r="C187" s="306" t="s">
        <v>632</v>
      </c>
      <c r="D187" s="307"/>
      <c r="E187" s="69" t="s">
        <v>325</v>
      </c>
      <c r="F187" s="77">
        <v>1</v>
      </c>
      <c r="G187" s="218">
        <v>0</v>
      </c>
      <c r="H187" s="77">
        <f t="shared" si="0"/>
        <v>0</v>
      </c>
      <c r="I187" s="77">
        <f t="shared" si="1"/>
        <v>0</v>
      </c>
      <c r="J187" s="77">
        <f t="shared" si="2"/>
        <v>0</v>
      </c>
      <c r="K187" s="77">
        <v>7.7000000000000002E-3</v>
      </c>
      <c r="L187" s="77">
        <f t="shared" si="3"/>
        <v>7.7000000000000002E-3</v>
      </c>
      <c r="M187" s="103" t="s">
        <v>35</v>
      </c>
      <c r="X187" s="77">
        <f t="shared" si="4"/>
        <v>0</v>
      </c>
      <c r="Z187" s="77">
        <f t="shared" si="5"/>
        <v>0</v>
      </c>
      <c r="AA187" s="77">
        <f t="shared" si="6"/>
        <v>0</v>
      </c>
      <c r="AB187" s="77">
        <f t="shared" si="7"/>
        <v>0</v>
      </c>
      <c r="AC187" s="77">
        <f t="shared" si="8"/>
        <v>0</v>
      </c>
      <c r="AD187" s="77">
        <f t="shared" si="9"/>
        <v>0</v>
      </c>
      <c r="AE187" s="77">
        <f t="shared" si="10"/>
        <v>0</v>
      </c>
      <c r="AF187" s="77">
        <f t="shared" si="11"/>
        <v>0</v>
      </c>
      <c r="AG187" s="71" t="s">
        <v>129</v>
      </c>
      <c r="AH187" s="77">
        <f t="shared" si="12"/>
        <v>0</v>
      </c>
      <c r="AI187" s="77">
        <f t="shared" si="13"/>
        <v>0</v>
      </c>
      <c r="AJ187" s="77">
        <f t="shared" si="14"/>
        <v>0</v>
      </c>
      <c r="AL187" s="77">
        <v>21</v>
      </c>
      <c r="AM187" s="77">
        <f t="shared" si="15"/>
        <v>0</v>
      </c>
      <c r="AN187" s="77">
        <f t="shared" si="16"/>
        <v>0</v>
      </c>
      <c r="AO187" s="79" t="s">
        <v>130</v>
      </c>
      <c r="AT187" s="77">
        <f t="shared" si="17"/>
        <v>0</v>
      </c>
      <c r="AU187" s="77">
        <f t="shared" si="18"/>
        <v>0</v>
      </c>
      <c r="AV187" s="77">
        <f t="shared" si="19"/>
        <v>0</v>
      </c>
      <c r="AW187" s="79" t="s">
        <v>416</v>
      </c>
      <c r="AX187" s="79" t="s">
        <v>417</v>
      </c>
      <c r="AY187" s="71" t="s">
        <v>137</v>
      </c>
      <c r="BA187" s="77">
        <f t="shared" si="20"/>
        <v>0</v>
      </c>
      <c r="BB187" s="77">
        <f t="shared" si="21"/>
        <v>0</v>
      </c>
      <c r="BC187" s="77">
        <v>0</v>
      </c>
      <c r="BD187" s="77">
        <f t="shared" si="22"/>
        <v>7.7000000000000002E-3</v>
      </c>
      <c r="BF187" s="77">
        <f t="shared" si="23"/>
        <v>0</v>
      </c>
      <c r="BG187" s="77">
        <f t="shared" si="24"/>
        <v>0</v>
      </c>
      <c r="BH187" s="77">
        <f t="shared" si="25"/>
        <v>0</v>
      </c>
      <c r="BI187" s="77"/>
      <c r="BJ187" s="77"/>
      <c r="BU187" s="77" t="e">
        <f>#REF!</f>
        <v>#REF!</v>
      </c>
      <c r="BV187" s="70" t="s">
        <v>632</v>
      </c>
    </row>
    <row r="188" spans="1:74" x14ac:dyDescent="0.25">
      <c r="A188" s="92" t="s">
        <v>648</v>
      </c>
      <c r="B188" s="69" t="s">
        <v>634</v>
      </c>
      <c r="C188" s="306" t="s">
        <v>635</v>
      </c>
      <c r="D188" s="307"/>
      <c r="E188" s="69" t="s">
        <v>482</v>
      </c>
      <c r="F188" s="77">
        <v>1</v>
      </c>
      <c r="G188" s="218">
        <v>0</v>
      </c>
      <c r="H188" s="77">
        <f t="shared" si="0"/>
        <v>0</v>
      </c>
      <c r="I188" s="77">
        <f t="shared" si="1"/>
        <v>0</v>
      </c>
      <c r="J188" s="77">
        <f t="shared" si="2"/>
        <v>0</v>
      </c>
      <c r="K188" s="77">
        <v>1.9400000000000001E-2</v>
      </c>
      <c r="L188" s="77">
        <f t="shared" si="3"/>
        <v>1.9400000000000001E-2</v>
      </c>
      <c r="M188" s="103" t="s">
        <v>35</v>
      </c>
      <c r="X188" s="77">
        <f t="shared" si="4"/>
        <v>0</v>
      </c>
      <c r="Z188" s="77">
        <f t="shared" si="5"/>
        <v>0</v>
      </c>
      <c r="AA188" s="77">
        <f t="shared" si="6"/>
        <v>0</v>
      </c>
      <c r="AB188" s="77">
        <f t="shared" si="7"/>
        <v>0</v>
      </c>
      <c r="AC188" s="77">
        <f t="shared" si="8"/>
        <v>0</v>
      </c>
      <c r="AD188" s="77">
        <f t="shared" si="9"/>
        <v>0</v>
      </c>
      <c r="AE188" s="77">
        <f t="shared" si="10"/>
        <v>0</v>
      </c>
      <c r="AF188" s="77">
        <f t="shared" si="11"/>
        <v>0</v>
      </c>
      <c r="AG188" s="71" t="s">
        <v>129</v>
      </c>
      <c r="AH188" s="77">
        <f t="shared" si="12"/>
        <v>0</v>
      </c>
      <c r="AI188" s="77">
        <f t="shared" si="13"/>
        <v>0</v>
      </c>
      <c r="AJ188" s="77">
        <f t="shared" si="14"/>
        <v>0</v>
      </c>
      <c r="AL188" s="77">
        <v>21</v>
      </c>
      <c r="AM188" s="77">
        <f t="shared" si="15"/>
        <v>0</v>
      </c>
      <c r="AN188" s="77">
        <f t="shared" si="16"/>
        <v>0</v>
      </c>
      <c r="AO188" s="79" t="s">
        <v>130</v>
      </c>
      <c r="AT188" s="77">
        <f t="shared" si="17"/>
        <v>0</v>
      </c>
      <c r="AU188" s="77">
        <f t="shared" si="18"/>
        <v>0</v>
      </c>
      <c r="AV188" s="77">
        <f t="shared" si="19"/>
        <v>0</v>
      </c>
      <c r="AW188" s="79" t="s">
        <v>416</v>
      </c>
      <c r="AX188" s="79" t="s">
        <v>417</v>
      </c>
      <c r="AY188" s="71" t="s">
        <v>137</v>
      </c>
      <c r="BA188" s="77">
        <f t="shared" si="20"/>
        <v>0</v>
      </c>
      <c r="BB188" s="77">
        <f t="shared" si="21"/>
        <v>0</v>
      </c>
      <c r="BC188" s="77">
        <v>0</v>
      </c>
      <c r="BD188" s="77">
        <f t="shared" si="22"/>
        <v>1.9400000000000001E-2</v>
      </c>
      <c r="BF188" s="77">
        <f t="shared" si="23"/>
        <v>0</v>
      </c>
      <c r="BG188" s="77">
        <f t="shared" si="24"/>
        <v>0</v>
      </c>
      <c r="BH188" s="77">
        <f t="shared" si="25"/>
        <v>0</v>
      </c>
      <c r="BI188" s="77"/>
      <c r="BJ188" s="77"/>
      <c r="BU188" s="77" t="e">
        <f>#REF!</f>
        <v>#REF!</v>
      </c>
      <c r="BV188" s="70" t="s">
        <v>635</v>
      </c>
    </row>
    <row r="189" spans="1:74" x14ac:dyDescent="0.25">
      <c r="A189" s="92" t="s">
        <v>651</v>
      </c>
      <c r="B189" s="69" t="s">
        <v>640</v>
      </c>
      <c r="C189" s="306" t="s">
        <v>641</v>
      </c>
      <c r="D189" s="307"/>
      <c r="E189" s="69" t="s">
        <v>482</v>
      </c>
      <c r="F189" s="77">
        <v>1</v>
      </c>
      <c r="G189" s="218">
        <v>0</v>
      </c>
      <c r="H189" s="77">
        <f t="shared" si="0"/>
        <v>0</v>
      </c>
      <c r="I189" s="77">
        <f t="shared" si="1"/>
        <v>0</v>
      </c>
      <c r="J189" s="77">
        <f t="shared" si="2"/>
        <v>0</v>
      </c>
      <c r="K189" s="77">
        <v>9.4999999999999998E-3</v>
      </c>
      <c r="L189" s="77">
        <f t="shared" si="3"/>
        <v>9.4999999999999998E-3</v>
      </c>
      <c r="M189" s="103" t="s">
        <v>35</v>
      </c>
      <c r="X189" s="77">
        <f t="shared" si="4"/>
        <v>0</v>
      </c>
      <c r="Z189" s="77">
        <f t="shared" si="5"/>
        <v>0</v>
      </c>
      <c r="AA189" s="77">
        <f t="shared" si="6"/>
        <v>0</v>
      </c>
      <c r="AB189" s="77">
        <f t="shared" si="7"/>
        <v>0</v>
      </c>
      <c r="AC189" s="77">
        <f t="shared" si="8"/>
        <v>0</v>
      </c>
      <c r="AD189" s="77">
        <f t="shared" si="9"/>
        <v>0</v>
      </c>
      <c r="AE189" s="77">
        <f t="shared" si="10"/>
        <v>0</v>
      </c>
      <c r="AF189" s="77">
        <f t="shared" si="11"/>
        <v>0</v>
      </c>
      <c r="AG189" s="71" t="s">
        <v>129</v>
      </c>
      <c r="AH189" s="77">
        <f t="shared" si="12"/>
        <v>0</v>
      </c>
      <c r="AI189" s="77">
        <f t="shared" si="13"/>
        <v>0</v>
      </c>
      <c r="AJ189" s="77">
        <f t="shared" si="14"/>
        <v>0</v>
      </c>
      <c r="AL189" s="77">
        <v>21</v>
      </c>
      <c r="AM189" s="77">
        <f t="shared" si="15"/>
        <v>0</v>
      </c>
      <c r="AN189" s="77">
        <f t="shared" si="16"/>
        <v>0</v>
      </c>
      <c r="AO189" s="79" t="s">
        <v>130</v>
      </c>
      <c r="AT189" s="77">
        <f t="shared" si="17"/>
        <v>0</v>
      </c>
      <c r="AU189" s="77">
        <f t="shared" si="18"/>
        <v>0</v>
      </c>
      <c r="AV189" s="77">
        <f t="shared" si="19"/>
        <v>0</v>
      </c>
      <c r="AW189" s="79" t="s">
        <v>416</v>
      </c>
      <c r="AX189" s="79" t="s">
        <v>417</v>
      </c>
      <c r="AY189" s="71" t="s">
        <v>137</v>
      </c>
      <c r="BA189" s="77">
        <f t="shared" si="20"/>
        <v>0</v>
      </c>
      <c r="BB189" s="77">
        <f t="shared" si="21"/>
        <v>0</v>
      </c>
      <c r="BC189" s="77">
        <v>0</v>
      </c>
      <c r="BD189" s="77">
        <f t="shared" si="22"/>
        <v>9.4999999999999998E-3</v>
      </c>
      <c r="BF189" s="77">
        <f t="shared" si="23"/>
        <v>0</v>
      </c>
      <c r="BG189" s="77">
        <f t="shared" si="24"/>
        <v>0</v>
      </c>
      <c r="BH189" s="77">
        <f t="shared" si="25"/>
        <v>0</v>
      </c>
      <c r="BI189" s="77"/>
      <c r="BJ189" s="77"/>
      <c r="BU189" s="77" t="e">
        <f>#REF!</f>
        <v>#REF!</v>
      </c>
      <c r="BV189" s="70" t="s">
        <v>641</v>
      </c>
    </row>
    <row r="190" spans="1:74" x14ac:dyDescent="0.25">
      <c r="A190" s="92" t="s">
        <v>654</v>
      </c>
      <c r="B190" s="69" t="s">
        <v>649</v>
      </c>
      <c r="C190" s="306" t="s">
        <v>650</v>
      </c>
      <c r="D190" s="307"/>
      <c r="E190" s="69" t="s">
        <v>482</v>
      </c>
      <c r="F190" s="77">
        <v>2</v>
      </c>
      <c r="G190" s="218">
        <v>0</v>
      </c>
      <c r="H190" s="77">
        <f t="shared" si="0"/>
        <v>0</v>
      </c>
      <c r="I190" s="77">
        <f t="shared" si="1"/>
        <v>0</v>
      </c>
      <c r="J190" s="77">
        <f t="shared" si="2"/>
        <v>0</v>
      </c>
      <c r="K190" s="77">
        <v>9.7000000000000003E-3</v>
      </c>
      <c r="L190" s="77">
        <f t="shared" si="3"/>
        <v>1.9400000000000001E-2</v>
      </c>
      <c r="M190" s="103" t="s">
        <v>35</v>
      </c>
      <c r="X190" s="77">
        <f t="shared" si="4"/>
        <v>0</v>
      </c>
      <c r="Z190" s="77">
        <f t="shared" si="5"/>
        <v>0</v>
      </c>
      <c r="AA190" s="77">
        <f t="shared" si="6"/>
        <v>0</v>
      </c>
      <c r="AB190" s="77">
        <f t="shared" si="7"/>
        <v>0</v>
      </c>
      <c r="AC190" s="77">
        <f t="shared" si="8"/>
        <v>0</v>
      </c>
      <c r="AD190" s="77">
        <f t="shared" si="9"/>
        <v>0</v>
      </c>
      <c r="AE190" s="77">
        <f t="shared" si="10"/>
        <v>0</v>
      </c>
      <c r="AF190" s="77">
        <f t="shared" si="11"/>
        <v>0</v>
      </c>
      <c r="AG190" s="71" t="s">
        <v>129</v>
      </c>
      <c r="AH190" s="77">
        <f t="shared" si="12"/>
        <v>0</v>
      </c>
      <c r="AI190" s="77">
        <f t="shared" si="13"/>
        <v>0</v>
      </c>
      <c r="AJ190" s="77">
        <f t="shared" si="14"/>
        <v>0</v>
      </c>
      <c r="AL190" s="77">
        <v>21</v>
      </c>
      <c r="AM190" s="77">
        <f t="shared" si="15"/>
        <v>0</v>
      </c>
      <c r="AN190" s="77">
        <f t="shared" si="16"/>
        <v>0</v>
      </c>
      <c r="AO190" s="79" t="s">
        <v>130</v>
      </c>
      <c r="AT190" s="77">
        <f t="shared" si="17"/>
        <v>0</v>
      </c>
      <c r="AU190" s="77">
        <f t="shared" si="18"/>
        <v>0</v>
      </c>
      <c r="AV190" s="77">
        <f t="shared" si="19"/>
        <v>0</v>
      </c>
      <c r="AW190" s="79" t="s">
        <v>416</v>
      </c>
      <c r="AX190" s="79" t="s">
        <v>417</v>
      </c>
      <c r="AY190" s="71" t="s">
        <v>137</v>
      </c>
      <c r="BA190" s="77">
        <f t="shared" si="20"/>
        <v>0</v>
      </c>
      <c r="BB190" s="77">
        <f t="shared" si="21"/>
        <v>0</v>
      </c>
      <c r="BC190" s="77">
        <v>0</v>
      </c>
      <c r="BD190" s="77">
        <f t="shared" si="22"/>
        <v>1.9400000000000001E-2</v>
      </c>
      <c r="BF190" s="77">
        <f t="shared" si="23"/>
        <v>0</v>
      </c>
      <c r="BG190" s="77">
        <f t="shared" si="24"/>
        <v>0</v>
      </c>
      <c r="BH190" s="77">
        <f t="shared" si="25"/>
        <v>0</v>
      </c>
      <c r="BI190" s="77"/>
      <c r="BJ190" s="77"/>
      <c r="BU190" s="77" t="e">
        <f>#REF!</f>
        <v>#REF!</v>
      </c>
      <c r="BV190" s="70" t="s">
        <v>650</v>
      </c>
    </row>
    <row r="191" spans="1:74" x14ac:dyDescent="0.25">
      <c r="A191" s="92" t="s">
        <v>531</v>
      </c>
      <c r="B191" s="69" t="s">
        <v>652</v>
      </c>
      <c r="C191" s="306" t="s">
        <v>653</v>
      </c>
      <c r="D191" s="307"/>
      <c r="E191" s="69" t="s">
        <v>325</v>
      </c>
      <c r="F191" s="77">
        <v>3</v>
      </c>
      <c r="G191" s="218">
        <v>0</v>
      </c>
      <c r="H191" s="77">
        <f t="shared" si="0"/>
        <v>0</v>
      </c>
      <c r="I191" s="77">
        <f t="shared" si="1"/>
        <v>0</v>
      </c>
      <c r="J191" s="77">
        <f t="shared" si="2"/>
        <v>0</v>
      </c>
      <c r="K191" s="77">
        <v>1.7000000000000001E-2</v>
      </c>
      <c r="L191" s="77">
        <f t="shared" si="3"/>
        <v>5.1000000000000004E-2</v>
      </c>
      <c r="M191" s="103" t="s">
        <v>35</v>
      </c>
      <c r="X191" s="77">
        <f t="shared" si="4"/>
        <v>0</v>
      </c>
      <c r="Z191" s="77">
        <f t="shared" si="5"/>
        <v>0</v>
      </c>
      <c r="AA191" s="77">
        <f t="shared" si="6"/>
        <v>0</v>
      </c>
      <c r="AB191" s="77">
        <f t="shared" si="7"/>
        <v>0</v>
      </c>
      <c r="AC191" s="77">
        <f t="shared" si="8"/>
        <v>0</v>
      </c>
      <c r="AD191" s="77">
        <f t="shared" si="9"/>
        <v>0</v>
      </c>
      <c r="AE191" s="77">
        <f t="shared" si="10"/>
        <v>0</v>
      </c>
      <c r="AF191" s="77">
        <f t="shared" si="11"/>
        <v>0</v>
      </c>
      <c r="AG191" s="71" t="s">
        <v>129</v>
      </c>
      <c r="AH191" s="77">
        <f t="shared" si="12"/>
        <v>0</v>
      </c>
      <c r="AI191" s="77">
        <f t="shared" si="13"/>
        <v>0</v>
      </c>
      <c r="AJ191" s="77">
        <f t="shared" si="14"/>
        <v>0</v>
      </c>
      <c r="AL191" s="77">
        <v>21</v>
      </c>
      <c r="AM191" s="77">
        <f t="shared" si="15"/>
        <v>0</v>
      </c>
      <c r="AN191" s="77">
        <f t="shared" si="16"/>
        <v>0</v>
      </c>
      <c r="AO191" s="79" t="s">
        <v>130</v>
      </c>
      <c r="AT191" s="77">
        <f t="shared" si="17"/>
        <v>0</v>
      </c>
      <c r="AU191" s="77">
        <f t="shared" si="18"/>
        <v>0</v>
      </c>
      <c r="AV191" s="77">
        <f t="shared" si="19"/>
        <v>0</v>
      </c>
      <c r="AW191" s="79" t="s">
        <v>416</v>
      </c>
      <c r="AX191" s="79" t="s">
        <v>417</v>
      </c>
      <c r="AY191" s="71" t="s">
        <v>137</v>
      </c>
      <c r="BA191" s="77">
        <f t="shared" si="20"/>
        <v>0</v>
      </c>
      <c r="BB191" s="77">
        <f t="shared" si="21"/>
        <v>0</v>
      </c>
      <c r="BC191" s="77">
        <v>0</v>
      </c>
      <c r="BD191" s="77">
        <f t="shared" si="22"/>
        <v>5.1000000000000004E-2</v>
      </c>
      <c r="BF191" s="77">
        <f t="shared" si="23"/>
        <v>0</v>
      </c>
      <c r="BG191" s="77">
        <f t="shared" si="24"/>
        <v>0</v>
      </c>
      <c r="BH191" s="77">
        <f t="shared" si="25"/>
        <v>0</v>
      </c>
      <c r="BI191" s="77"/>
      <c r="BJ191" s="77"/>
      <c r="BU191" s="77" t="e">
        <f>#REF!</f>
        <v>#REF!</v>
      </c>
      <c r="BV191" s="70" t="s">
        <v>653</v>
      </c>
    </row>
    <row r="192" spans="1:74" x14ac:dyDescent="0.25">
      <c r="A192" s="92" t="s">
        <v>659</v>
      </c>
      <c r="B192" s="69" t="s">
        <v>657</v>
      </c>
      <c r="C192" s="306" t="s">
        <v>658</v>
      </c>
      <c r="D192" s="307"/>
      <c r="E192" s="69" t="s">
        <v>482</v>
      </c>
      <c r="F192" s="77">
        <v>3</v>
      </c>
      <c r="G192" s="218">
        <v>0</v>
      </c>
      <c r="H192" s="77">
        <f t="shared" si="0"/>
        <v>0</v>
      </c>
      <c r="I192" s="77">
        <f t="shared" si="1"/>
        <v>0</v>
      </c>
      <c r="J192" s="77">
        <f t="shared" si="2"/>
        <v>0</v>
      </c>
      <c r="K192" s="77">
        <v>1.1999999999999999E-3</v>
      </c>
      <c r="L192" s="77">
        <f t="shared" si="3"/>
        <v>3.5999999999999999E-3</v>
      </c>
      <c r="M192" s="103" t="s">
        <v>35</v>
      </c>
      <c r="X192" s="77">
        <f t="shared" si="4"/>
        <v>0</v>
      </c>
      <c r="Z192" s="77">
        <f t="shared" si="5"/>
        <v>0</v>
      </c>
      <c r="AA192" s="77">
        <f t="shared" si="6"/>
        <v>0</v>
      </c>
      <c r="AB192" s="77">
        <f t="shared" si="7"/>
        <v>0</v>
      </c>
      <c r="AC192" s="77">
        <f t="shared" si="8"/>
        <v>0</v>
      </c>
      <c r="AD192" s="77">
        <f t="shared" si="9"/>
        <v>0</v>
      </c>
      <c r="AE192" s="77">
        <f t="shared" si="10"/>
        <v>0</v>
      </c>
      <c r="AF192" s="77">
        <f t="shared" si="11"/>
        <v>0</v>
      </c>
      <c r="AG192" s="71" t="s">
        <v>129</v>
      </c>
      <c r="AH192" s="77">
        <f t="shared" si="12"/>
        <v>0</v>
      </c>
      <c r="AI192" s="77">
        <f t="shared" si="13"/>
        <v>0</v>
      </c>
      <c r="AJ192" s="77">
        <f t="shared" si="14"/>
        <v>0</v>
      </c>
      <c r="AL192" s="77">
        <v>21</v>
      </c>
      <c r="AM192" s="77">
        <f t="shared" si="15"/>
        <v>0</v>
      </c>
      <c r="AN192" s="77">
        <f t="shared" si="16"/>
        <v>0</v>
      </c>
      <c r="AO192" s="79" t="s">
        <v>130</v>
      </c>
      <c r="AT192" s="77">
        <f t="shared" si="17"/>
        <v>0</v>
      </c>
      <c r="AU192" s="77">
        <f t="shared" si="18"/>
        <v>0</v>
      </c>
      <c r="AV192" s="77">
        <f t="shared" si="19"/>
        <v>0</v>
      </c>
      <c r="AW192" s="79" t="s">
        <v>416</v>
      </c>
      <c r="AX192" s="79" t="s">
        <v>417</v>
      </c>
      <c r="AY192" s="71" t="s">
        <v>137</v>
      </c>
      <c r="BA192" s="77">
        <f t="shared" si="20"/>
        <v>0</v>
      </c>
      <c r="BB192" s="77">
        <f t="shared" si="21"/>
        <v>0</v>
      </c>
      <c r="BC192" s="77">
        <v>0</v>
      </c>
      <c r="BD192" s="77">
        <f t="shared" si="22"/>
        <v>3.5999999999999999E-3</v>
      </c>
      <c r="BF192" s="77">
        <f t="shared" si="23"/>
        <v>0</v>
      </c>
      <c r="BG192" s="77">
        <f t="shared" si="24"/>
        <v>0</v>
      </c>
      <c r="BH192" s="77">
        <f t="shared" si="25"/>
        <v>0</v>
      </c>
      <c r="BI192" s="77"/>
      <c r="BJ192" s="77"/>
      <c r="BU192" s="77" t="e">
        <f>#REF!</f>
        <v>#REF!</v>
      </c>
      <c r="BV192" s="70" t="s">
        <v>658</v>
      </c>
    </row>
    <row r="193" spans="1:74" x14ac:dyDescent="0.25">
      <c r="A193" s="92" t="s">
        <v>314</v>
      </c>
      <c r="B193" s="69" t="s">
        <v>660</v>
      </c>
      <c r="C193" s="306" t="s">
        <v>661</v>
      </c>
      <c r="D193" s="307"/>
      <c r="E193" s="69" t="s">
        <v>482</v>
      </c>
      <c r="F193" s="77">
        <v>3</v>
      </c>
      <c r="G193" s="218">
        <v>0</v>
      </c>
      <c r="H193" s="77">
        <f t="shared" si="0"/>
        <v>0</v>
      </c>
      <c r="I193" s="77">
        <f t="shared" si="1"/>
        <v>0</v>
      </c>
      <c r="J193" s="77">
        <f t="shared" si="2"/>
        <v>0</v>
      </c>
      <c r="K193" s="77">
        <v>2E-3</v>
      </c>
      <c r="L193" s="77">
        <f t="shared" si="3"/>
        <v>6.0000000000000001E-3</v>
      </c>
      <c r="M193" s="103" t="s">
        <v>35</v>
      </c>
      <c r="X193" s="77">
        <f t="shared" si="4"/>
        <v>0</v>
      </c>
      <c r="Z193" s="77">
        <f t="shared" si="5"/>
        <v>0</v>
      </c>
      <c r="AA193" s="77">
        <f t="shared" si="6"/>
        <v>0</v>
      </c>
      <c r="AB193" s="77">
        <f t="shared" si="7"/>
        <v>0</v>
      </c>
      <c r="AC193" s="77">
        <f t="shared" si="8"/>
        <v>0</v>
      </c>
      <c r="AD193" s="77">
        <f t="shared" si="9"/>
        <v>0</v>
      </c>
      <c r="AE193" s="77">
        <f t="shared" si="10"/>
        <v>0</v>
      </c>
      <c r="AF193" s="77">
        <f t="shared" si="11"/>
        <v>0</v>
      </c>
      <c r="AG193" s="71" t="s">
        <v>129</v>
      </c>
      <c r="AH193" s="77">
        <f t="shared" si="12"/>
        <v>0</v>
      </c>
      <c r="AI193" s="77">
        <f t="shared" si="13"/>
        <v>0</v>
      </c>
      <c r="AJ193" s="77">
        <f t="shared" si="14"/>
        <v>0</v>
      </c>
      <c r="AL193" s="77">
        <v>21</v>
      </c>
      <c r="AM193" s="77">
        <f t="shared" si="15"/>
        <v>0</v>
      </c>
      <c r="AN193" s="77">
        <f t="shared" si="16"/>
        <v>0</v>
      </c>
      <c r="AO193" s="79" t="s">
        <v>130</v>
      </c>
      <c r="AT193" s="77">
        <f t="shared" si="17"/>
        <v>0</v>
      </c>
      <c r="AU193" s="77">
        <f t="shared" si="18"/>
        <v>0</v>
      </c>
      <c r="AV193" s="77">
        <f t="shared" si="19"/>
        <v>0</v>
      </c>
      <c r="AW193" s="79" t="s">
        <v>416</v>
      </c>
      <c r="AX193" s="79" t="s">
        <v>417</v>
      </c>
      <c r="AY193" s="71" t="s">
        <v>137</v>
      </c>
      <c r="BA193" s="77">
        <f t="shared" si="20"/>
        <v>0</v>
      </c>
      <c r="BB193" s="77">
        <f t="shared" si="21"/>
        <v>0</v>
      </c>
      <c r="BC193" s="77">
        <v>0</v>
      </c>
      <c r="BD193" s="77">
        <f t="shared" si="22"/>
        <v>6.0000000000000001E-3</v>
      </c>
      <c r="BF193" s="77">
        <f t="shared" si="23"/>
        <v>0</v>
      </c>
      <c r="BG193" s="77">
        <f t="shared" si="24"/>
        <v>0</v>
      </c>
      <c r="BH193" s="77">
        <f t="shared" si="25"/>
        <v>0</v>
      </c>
      <c r="BI193" s="77"/>
      <c r="BJ193" s="77"/>
      <c r="BU193" s="77" t="e">
        <f>#REF!</f>
        <v>#REF!</v>
      </c>
      <c r="BV193" s="70" t="s">
        <v>661</v>
      </c>
    </row>
    <row r="194" spans="1:74" x14ac:dyDescent="0.25">
      <c r="A194" s="92" t="s">
        <v>664</v>
      </c>
      <c r="B194" s="69" t="s">
        <v>662</v>
      </c>
      <c r="C194" s="306" t="s">
        <v>663</v>
      </c>
      <c r="D194" s="307"/>
      <c r="E194" s="69" t="s">
        <v>482</v>
      </c>
      <c r="F194" s="77">
        <v>3</v>
      </c>
      <c r="G194" s="218">
        <v>0</v>
      </c>
      <c r="H194" s="77">
        <f t="shared" si="0"/>
        <v>0</v>
      </c>
      <c r="I194" s="77">
        <f t="shared" si="1"/>
        <v>0</v>
      </c>
      <c r="J194" s="77">
        <f t="shared" si="2"/>
        <v>0</v>
      </c>
      <c r="K194" s="77">
        <v>0</v>
      </c>
      <c r="L194" s="77">
        <f t="shared" si="3"/>
        <v>0</v>
      </c>
      <c r="M194" s="103" t="s">
        <v>35</v>
      </c>
      <c r="X194" s="77">
        <f t="shared" si="4"/>
        <v>0</v>
      </c>
      <c r="Z194" s="77">
        <f t="shared" si="5"/>
        <v>0</v>
      </c>
      <c r="AA194" s="77">
        <f t="shared" si="6"/>
        <v>0</v>
      </c>
      <c r="AB194" s="77">
        <f t="shared" si="7"/>
        <v>0</v>
      </c>
      <c r="AC194" s="77">
        <f t="shared" si="8"/>
        <v>0</v>
      </c>
      <c r="AD194" s="77">
        <f t="shared" si="9"/>
        <v>0</v>
      </c>
      <c r="AE194" s="77">
        <f t="shared" si="10"/>
        <v>0</v>
      </c>
      <c r="AF194" s="77">
        <f t="shared" si="11"/>
        <v>0</v>
      </c>
      <c r="AG194" s="71" t="s">
        <v>129</v>
      </c>
      <c r="AH194" s="77">
        <f t="shared" si="12"/>
        <v>0</v>
      </c>
      <c r="AI194" s="77">
        <f t="shared" si="13"/>
        <v>0</v>
      </c>
      <c r="AJ194" s="77">
        <f t="shared" si="14"/>
        <v>0</v>
      </c>
      <c r="AL194" s="77">
        <v>21</v>
      </c>
      <c r="AM194" s="77">
        <f t="shared" si="15"/>
        <v>0</v>
      </c>
      <c r="AN194" s="77">
        <f t="shared" si="16"/>
        <v>0</v>
      </c>
      <c r="AO194" s="79" t="s">
        <v>130</v>
      </c>
      <c r="AT194" s="77">
        <f t="shared" si="17"/>
        <v>0</v>
      </c>
      <c r="AU194" s="77">
        <f t="shared" si="18"/>
        <v>0</v>
      </c>
      <c r="AV194" s="77">
        <f t="shared" si="19"/>
        <v>0</v>
      </c>
      <c r="AW194" s="79" t="s">
        <v>416</v>
      </c>
      <c r="AX194" s="79" t="s">
        <v>417</v>
      </c>
      <c r="AY194" s="71" t="s">
        <v>137</v>
      </c>
      <c r="BA194" s="77">
        <f t="shared" si="20"/>
        <v>0</v>
      </c>
      <c r="BB194" s="77">
        <f t="shared" si="21"/>
        <v>0</v>
      </c>
      <c r="BC194" s="77">
        <v>0</v>
      </c>
      <c r="BD194" s="77">
        <f t="shared" si="22"/>
        <v>0</v>
      </c>
      <c r="BF194" s="77">
        <f t="shared" si="23"/>
        <v>0</v>
      </c>
      <c r="BG194" s="77">
        <f t="shared" si="24"/>
        <v>0</v>
      </c>
      <c r="BH194" s="77">
        <f t="shared" si="25"/>
        <v>0</v>
      </c>
      <c r="BI194" s="77"/>
      <c r="BJ194" s="77"/>
      <c r="BU194" s="77" t="e">
        <f>#REF!</f>
        <v>#REF!</v>
      </c>
      <c r="BV194" s="70" t="s">
        <v>663</v>
      </c>
    </row>
    <row r="195" spans="1:74" x14ac:dyDescent="0.25">
      <c r="A195" s="92" t="s">
        <v>335</v>
      </c>
      <c r="B195" s="69" t="s">
        <v>706</v>
      </c>
      <c r="C195" s="306" t="s">
        <v>707</v>
      </c>
      <c r="D195" s="307"/>
      <c r="E195" s="69" t="s">
        <v>145</v>
      </c>
      <c r="F195" s="77">
        <v>13.64</v>
      </c>
      <c r="G195" s="218">
        <v>0</v>
      </c>
      <c r="H195" s="77">
        <f t="shared" si="0"/>
        <v>0</v>
      </c>
      <c r="I195" s="77">
        <f t="shared" si="1"/>
        <v>0</v>
      </c>
      <c r="J195" s="77">
        <f t="shared" si="2"/>
        <v>0</v>
      </c>
      <c r="K195" s="77">
        <v>8.0000000000000007E-5</v>
      </c>
      <c r="L195" s="77">
        <f t="shared" si="3"/>
        <v>1.0912000000000001E-3</v>
      </c>
      <c r="M195" s="103" t="s">
        <v>35</v>
      </c>
      <c r="X195" s="77">
        <f t="shared" si="4"/>
        <v>0</v>
      </c>
      <c r="Z195" s="77">
        <f t="shared" si="5"/>
        <v>0</v>
      </c>
      <c r="AA195" s="77">
        <f t="shared" si="6"/>
        <v>0</v>
      </c>
      <c r="AB195" s="77">
        <f t="shared" si="7"/>
        <v>0</v>
      </c>
      <c r="AC195" s="77">
        <f t="shared" si="8"/>
        <v>0</v>
      </c>
      <c r="AD195" s="77">
        <f t="shared" si="9"/>
        <v>0</v>
      </c>
      <c r="AE195" s="77">
        <f t="shared" si="10"/>
        <v>0</v>
      </c>
      <c r="AF195" s="77">
        <f t="shared" si="11"/>
        <v>0</v>
      </c>
      <c r="AG195" s="71" t="s">
        <v>129</v>
      </c>
      <c r="AH195" s="77">
        <f t="shared" si="12"/>
        <v>0</v>
      </c>
      <c r="AI195" s="77">
        <f t="shared" si="13"/>
        <v>0</v>
      </c>
      <c r="AJ195" s="77">
        <f t="shared" si="14"/>
        <v>0</v>
      </c>
      <c r="AL195" s="77">
        <v>21</v>
      </c>
      <c r="AM195" s="77">
        <f t="shared" si="15"/>
        <v>0</v>
      </c>
      <c r="AN195" s="77">
        <f t="shared" si="16"/>
        <v>0</v>
      </c>
      <c r="AO195" s="79" t="s">
        <v>130</v>
      </c>
      <c r="AT195" s="77">
        <f t="shared" si="17"/>
        <v>0</v>
      </c>
      <c r="AU195" s="77">
        <f t="shared" si="18"/>
        <v>0</v>
      </c>
      <c r="AV195" s="77">
        <f t="shared" si="19"/>
        <v>0</v>
      </c>
      <c r="AW195" s="79" t="s">
        <v>416</v>
      </c>
      <c r="AX195" s="79" t="s">
        <v>417</v>
      </c>
      <c r="AY195" s="71" t="s">
        <v>137</v>
      </c>
      <c r="BA195" s="77">
        <f t="shared" si="20"/>
        <v>0</v>
      </c>
      <c r="BB195" s="77">
        <f t="shared" si="21"/>
        <v>0</v>
      </c>
      <c r="BC195" s="77">
        <v>0</v>
      </c>
      <c r="BD195" s="77">
        <f t="shared" si="22"/>
        <v>1.0912000000000001E-3</v>
      </c>
      <c r="BF195" s="77">
        <f t="shared" si="23"/>
        <v>0</v>
      </c>
      <c r="BG195" s="77">
        <f t="shared" si="24"/>
        <v>0</v>
      </c>
      <c r="BH195" s="77">
        <f t="shared" si="25"/>
        <v>0</v>
      </c>
      <c r="BI195" s="77"/>
      <c r="BJ195" s="77"/>
      <c r="BU195" s="77" t="e">
        <f>#REF!</f>
        <v>#REF!</v>
      </c>
      <c r="BV195" s="70" t="s">
        <v>707</v>
      </c>
    </row>
    <row r="196" spans="1:74" ht="40.5" customHeight="1" x14ac:dyDescent="0.25">
      <c r="A196" s="104"/>
      <c r="B196" s="81" t="s">
        <v>138</v>
      </c>
      <c r="C196" s="303" t="s">
        <v>807</v>
      </c>
      <c r="D196" s="304"/>
      <c r="E196" s="304"/>
      <c r="F196" s="304"/>
      <c r="G196" s="304"/>
      <c r="H196" s="304"/>
      <c r="I196" s="304"/>
      <c r="J196" s="304"/>
      <c r="K196" s="304"/>
      <c r="L196" s="304"/>
      <c r="M196" s="305"/>
    </row>
    <row r="197" spans="1:74" x14ac:dyDescent="0.25">
      <c r="A197" s="92" t="s">
        <v>669</v>
      </c>
      <c r="B197" s="69" t="s">
        <v>710</v>
      </c>
      <c r="C197" s="306" t="s">
        <v>711</v>
      </c>
      <c r="D197" s="307"/>
      <c r="E197" s="69" t="s">
        <v>712</v>
      </c>
      <c r="F197" s="77">
        <v>1</v>
      </c>
      <c r="G197" s="218">
        <v>0</v>
      </c>
      <c r="H197" s="77">
        <f>F197*AM197</f>
        <v>0</v>
      </c>
      <c r="I197" s="77">
        <f>F197*AN197</f>
        <v>0</v>
      </c>
      <c r="J197" s="77">
        <f>F197*G197</f>
        <v>0</v>
      </c>
      <c r="K197" s="77">
        <v>0</v>
      </c>
      <c r="L197" s="77">
        <f>F197*K197</f>
        <v>0</v>
      </c>
      <c r="M197" s="103" t="s">
        <v>35</v>
      </c>
      <c r="X197" s="77">
        <f>IF(AO197="5",BH197,0)</f>
        <v>0</v>
      </c>
      <c r="Z197" s="77">
        <f>IF(AO197="1",BF197,0)</f>
        <v>0</v>
      </c>
      <c r="AA197" s="77">
        <f>IF(AO197="1",BG197,0)</f>
        <v>0</v>
      </c>
      <c r="AB197" s="77">
        <f>IF(AO197="7",BF197,0)</f>
        <v>0</v>
      </c>
      <c r="AC197" s="77">
        <f>IF(AO197="7",BG197,0)</f>
        <v>0</v>
      </c>
      <c r="AD197" s="77">
        <f>IF(AO197="2",BF197,0)</f>
        <v>0</v>
      </c>
      <c r="AE197" s="77">
        <f>IF(AO197="2",BG197,0)</f>
        <v>0</v>
      </c>
      <c r="AF197" s="77">
        <f>IF(AO197="0",BH197,0)</f>
        <v>0</v>
      </c>
      <c r="AG197" s="71" t="s">
        <v>129</v>
      </c>
      <c r="AH197" s="77">
        <f>IF(AL197=0,J197,0)</f>
        <v>0</v>
      </c>
      <c r="AI197" s="77">
        <f>IF(AL197=15,J197,0)</f>
        <v>0</v>
      </c>
      <c r="AJ197" s="77">
        <f>IF(AL197=21,J197,0)</f>
        <v>0</v>
      </c>
      <c r="AL197" s="77">
        <v>21</v>
      </c>
      <c r="AM197" s="77">
        <f>G197*1</f>
        <v>0</v>
      </c>
      <c r="AN197" s="77">
        <f>G197*(1-1)</f>
        <v>0</v>
      </c>
      <c r="AO197" s="79" t="s">
        <v>130</v>
      </c>
      <c r="AT197" s="77">
        <f>AU197+AV197</f>
        <v>0</v>
      </c>
      <c r="AU197" s="77">
        <f>F197*AM197</f>
        <v>0</v>
      </c>
      <c r="AV197" s="77">
        <f>F197*AN197</f>
        <v>0</v>
      </c>
      <c r="AW197" s="79" t="s">
        <v>416</v>
      </c>
      <c r="AX197" s="79" t="s">
        <v>417</v>
      </c>
      <c r="AY197" s="71" t="s">
        <v>137</v>
      </c>
      <c r="BA197" s="77">
        <f>AU197+AV197</f>
        <v>0</v>
      </c>
      <c r="BB197" s="77">
        <f>G197/(100-BC197)*100</f>
        <v>0</v>
      </c>
      <c r="BC197" s="77">
        <v>0</v>
      </c>
      <c r="BD197" s="77">
        <f>L197</f>
        <v>0</v>
      </c>
      <c r="BF197" s="77">
        <f>F197*AM197</f>
        <v>0</v>
      </c>
      <c r="BG197" s="77">
        <f>F197*AN197</f>
        <v>0</v>
      </c>
      <c r="BH197" s="77">
        <f>F197*G197</f>
        <v>0</v>
      </c>
      <c r="BI197" s="77"/>
      <c r="BJ197" s="77"/>
      <c r="BU197" s="77" t="e">
        <f>#REF!</f>
        <v>#REF!</v>
      </c>
      <c r="BV197" s="70" t="s">
        <v>711</v>
      </c>
    </row>
    <row r="198" spans="1:74" ht="27" customHeight="1" x14ac:dyDescent="0.25">
      <c r="A198" s="104"/>
      <c r="B198" s="81" t="s">
        <v>138</v>
      </c>
      <c r="C198" s="303" t="s">
        <v>713</v>
      </c>
      <c r="D198" s="304"/>
      <c r="E198" s="304"/>
      <c r="F198" s="304"/>
      <c r="G198" s="304"/>
      <c r="H198" s="304"/>
      <c r="I198" s="304"/>
      <c r="J198" s="304"/>
      <c r="K198" s="304"/>
      <c r="L198" s="304"/>
      <c r="M198" s="305"/>
    </row>
    <row r="199" spans="1:74" x14ac:dyDescent="0.25">
      <c r="A199" s="92" t="s">
        <v>672</v>
      </c>
      <c r="B199" s="69" t="s">
        <v>715</v>
      </c>
      <c r="C199" s="306" t="s">
        <v>716</v>
      </c>
      <c r="D199" s="307"/>
      <c r="E199" s="69" t="s">
        <v>325</v>
      </c>
      <c r="F199" s="77">
        <v>13</v>
      </c>
      <c r="G199" s="218">
        <v>0</v>
      </c>
      <c r="H199" s="77">
        <f>F199*AM199</f>
        <v>0</v>
      </c>
      <c r="I199" s="77">
        <f>F199*AN199</f>
        <v>0</v>
      </c>
      <c r="J199" s="77">
        <f>F199*G199</f>
        <v>0</v>
      </c>
      <c r="K199" s="77">
        <v>4.4999999999999998E-2</v>
      </c>
      <c r="L199" s="77">
        <f>F199*K199</f>
        <v>0.58499999999999996</v>
      </c>
      <c r="M199" s="103" t="s">
        <v>35</v>
      </c>
      <c r="X199" s="77">
        <f>IF(AO199="5",BH199,0)</f>
        <v>0</v>
      </c>
      <c r="Z199" s="77">
        <f>IF(AO199="1",BF199,0)</f>
        <v>0</v>
      </c>
      <c r="AA199" s="77">
        <f>IF(AO199="1",BG199,0)</f>
        <v>0</v>
      </c>
      <c r="AB199" s="77">
        <f>IF(AO199="7",BF199,0)</f>
        <v>0</v>
      </c>
      <c r="AC199" s="77">
        <f>IF(AO199="7",BG199,0)</f>
        <v>0</v>
      </c>
      <c r="AD199" s="77">
        <f>IF(AO199="2",BF199,0)</f>
        <v>0</v>
      </c>
      <c r="AE199" s="77">
        <f>IF(AO199="2",BG199,0)</f>
        <v>0</v>
      </c>
      <c r="AF199" s="77">
        <f>IF(AO199="0",BH199,0)</f>
        <v>0</v>
      </c>
      <c r="AG199" s="71" t="s">
        <v>129</v>
      </c>
      <c r="AH199" s="77">
        <f>IF(AL199=0,J199,0)</f>
        <v>0</v>
      </c>
      <c r="AI199" s="77">
        <f>IF(AL199=15,J199,0)</f>
        <v>0</v>
      </c>
      <c r="AJ199" s="77">
        <f>IF(AL199=21,J199,0)</f>
        <v>0</v>
      </c>
      <c r="AL199" s="77">
        <v>21</v>
      </c>
      <c r="AM199" s="77">
        <f>G199*1</f>
        <v>0</v>
      </c>
      <c r="AN199" s="77">
        <f>G199*(1-1)</f>
        <v>0</v>
      </c>
      <c r="AO199" s="79" t="s">
        <v>130</v>
      </c>
      <c r="AT199" s="77">
        <f>AU199+AV199</f>
        <v>0</v>
      </c>
      <c r="AU199" s="77">
        <f>F199*AM199</f>
        <v>0</v>
      </c>
      <c r="AV199" s="77">
        <f>F199*AN199</f>
        <v>0</v>
      </c>
      <c r="AW199" s="79" t="s">
        <v>416</v>
      </c>
      <c r="AX199" s="79" t="s">
        <v>417</v>
      </c>
      <c r="AY199" s="71" t="s">
        <v>137</v>
      </c>
      <c r="BA199" s="77">
        <f>AU199+AV199</f>
        <v>0</v>
      </c>
      <c r="BB199" s="77">
        <f>G199/(100-BC199)*100</f>
        <v>0</v>
      </c>
      <c r="BC199" s="77">
        <v>0</v>
      </c>
      <c r="BD199" s="77">
        <f>L199</f>
        <v>0.58499999999999996</v>
      </c>
      <c r="BF199" s="77">
        <f>F199*AM199</f>
        <v>0</v>
      </c>
      <c r="BG199" s="77">
        <f>F199*AN199</f>
        <v>0</v>
      </c>
      <c r="BH199" s="77">
        <f>F199*G199</f>
        <v>0</v>
      </c>
      <c r="BI199" s="77"/>
      <c r="BJ199" s="77"/>
      <c r="BU199" s="77" t="e">
        <f>#REF!</f>
        <v>#REF!</v>
      </c>
      <c r="BV199" s="70" t="s">
        <v>716</v>
      </c>
    </row>
    <row r="200" spans="1:74" ht="81" customHeight="1" x14ac:dyDescent="0.25">
      <c r="A200" s="104"/>
      <c r="B200" s="81" t="s">
        <v>138</v>
      </c>
      <c r="C200" s="303" t="s">
        <v>808</v>
      </c>
      <c r="D200" s="304"/>
      <c r="E200" s="304"/>
      <c r="F200" s="304"/>
      <c r="G200" s="304"/>
      <c r="H200" s="304"/>
      <c r="I200" s="304"/>
      <c r="J200" s="304"/>
      <c r="K200" s="304"/>
      <c r="L200" s="304"/>
      <c r="M200" s="305"/>
    </row>
    <row r="201" spans="1:74" x14ac:dyDescent="0.25">
      <c r="A201" s="92" t="s">
        <v>676</v>
      </c>
      <c r="B201" s="69" t="s">
        <v>719</v>
      </c>
      <c r="C201" s="306" t="s">
        <v>720</v>
      </c>
      <c r="D201" s="307"/>
      <c r="E201" s="69" t="s">
        <v>177</v>
      </c>
      <c r="F201" s="77">
        <v>0.32</v>
      </c>
      <c r="G201" s="218">
        <v>0</v>
      </c>
      <c r="H201" s="77">
        <f>F201*AM201</f>
        <v>0</v>
      </c>
      <c r="I201" s="77">
        <f>F201*AN201</f>
        <v>0</v>
      </c>
      <c r="J201" s="77">
        <f>F201*G201</f>
        <v>0</v>
      </c>
      <c r="K201" s="77">
        <v>0.55000000000000004</v>
      </c>
      <c r="L201" s="77">
        <f>F201*K201</f>
        <v>0.17600000000000002</v>
      </c>
      <c r="M201" s="103" t="s">
        <v>35</v>
      </c>
      <c r="X201" s="77">
        <f>IF(AO201="5",BH201,0)</f>
        <v>0</v>
      </c>
      <c r="Z201" s="77">
        <f>IF(AO201="1",BF201,0)</f>
        <v>0</v>
      </c>
      <c r="AA201" s="77">
        <f>IF(AO201="1",BG201,0)</f>
        <v>0</v>
      </c>
      <c r="AB201" s="77">
        <f>IF(AO201="7",BF201,0)</f>
        <v>0</v>
      </c>
      <c r="AC201" s="77">
        <f>IF(AO201="7",BG201,0)</f>
        <v>0</v>
      </c>
      <c r="AD201" s="77">
        <f>IF(AO201="2",BF201,0)</f>
        <v>0</v>
      </c>
      <c r="AE201" s="77">
        <f>IF(AO201="2",BG201,0)</f>
        <v>0</v>
      </c>
      <c r="AF201" s="77">
        <f>IF(AO201="0",BH201,0)</f>
        <v>0</v>
      </c>
      <c r="AG201" s="71" t="s">
        <v>129</v>
      </c>
      <c r="AH201" s="77">
        <f>IF(AL201=0,J201,0)</f>
        <v>0</v>
      </c>
      <c r="AI201" s="77">
        <f>IF(AL201=15,J201,0)</f>
        <v>0</v>
      </c>
      <c r="AJ201" s="77">
        <f>IF(AL201=21,J201,0)</f>
        <v>0</v>
      </c>
      <c r="AL201" s="77">
        <v>21</v>
      </c>
      <c r="AM201" s="77">
        <f>G201*1</f>
        <v>0</v>
      </c>
      <c r="AN201" s="77">
        <f>G201*(1-1)</f>
        <v>0</v>
      </c>
      <c r="AO201" s="79" t="s">
        <v>130</v>
      </c>
      <c r="AT201" s="77">
        <f>AU201+AV201</f>
        <v>0</v>
      </c>
      <c r="AU201" s="77">
        <f>F201*AM201</f>
        <v>0</v>
      </c>
      <c r="AV201" s="77">
        <f>F201*AN201</f>
        <v>0</v>
      </c>
      <c r="AW201" s="79" t="s">
        <v>416</v>
      </c>
      <c r="AX201" s="79" t="s">
        <v>417</v>
      </c>
      <c r="AY201" s="71" t="s">
        <v>137</v>
      </c>
      <c r="BA201" s="77">
        <f>AU201+AV201</f>
        <v>0</v>
      </c>
      <c r="BB201" s="77">
        <f>G201/(100-BC201)*100</f>
        <v>0</v>
      </c>
      <c r="BC201" s="77">
        <v>0</v>
      </c>
      <c r="BD201" s="77">
        <f>L201</f>
        <v>0.17600000000000002</v>
      </c>
      <c r="BF201" s="77">
        <f>F201*AM201</f>
        <v>0</v>
      </c>
      <c r="BG201" s="77">
        <f>F201*AN201</f>
        <v>0</v>
      </c>
      <c r="BH201" s="77">
        <f>F201*G201</f>
        <v>0</v>
      </c>
      <c r="BI201" s="77"/>
      <c r="BJ201" s="77"/>
      <c r="BU201" s="77" t="e">
        <f>#REF!</f>
        <v>#REF!</v>
      </c>
      <c r="BV201" s="70" t="s">
        <v>720</v>
      </c>
    </row>
    <row r="202" spans="1:74" ht="94.5" customHeight="1" thickBot="1" x14ac:dyDescent="0.3">
      <c r="A202" s="107"/>
      <c r="B202" s="108" t="s">
        <v>138</v>
      </c>
      <c r="C202" s="308" t="s">
        <v>809</v>
      </c>
      <c r="D202" s="309"/>
      <c r="E202" s="309"/>
      <c r="F202" s="309"/>
      <c r="G202" s="309"/>
      <c r="H202" s="309"/>
      <c r="I202" s="309"/>
      <c r="J202" s="309"/>
      <c r="K202" s="309"/>
      <c r="L202" s="309"/>
      <c r="M202" s="310"/>
    </row>
    <row r="203" spans="1:74" x14ac:dyDescent="0.25">
      <c r="H203" s="311" t="s">
        <v>475</v>
      </c>
      <c r="I203" s="311"/>
      <c r="J203" s="84">
        <f>J12+J15+J32+J37+J52+J57+J74+J80+J83+J88+J93+J98+J101+J120+J131+J140+J154+J157+J164+J167+J169+J171+J174+J177+J182</f>
        <v>0</v>
      </c>
    </row>
    <row r="204" spans="1:74" x14ac:dyDescent="0.25">
      <c r="A204" s="85" t="s">
        <v>138</v>
      </c>
    </row>
    <row r="205" spans="1:74" ht="13.5" customHeight="1" x14ac:dyDescent="0.25">
      <c r="A205" s="306" t="s">
        <v>722</v>
      </c>
      <c r="B205" s="307"/>
      <c r="C205" s="307"/>
      <c r="D205" s="307"/>
      <c r="E205" s="307"/>
      <c r="F205" s="307"/>
      <c r="G205" s="307"/>
      <c r="H205" s="307"/>
      <c r="I205" s="307"/>
      <c r="J205" s="307"/>
      <c r="K205" s="307"/>
      <c r="L205" s="307"/>
      <c r="M205" s="307"/>
    </row>
  </sheetData>
  <sheetProtection algorithmName="SHA-512" hashValue="5ryJ6BWm4AGLy6pgFaPPfC+12nU/kWYGZP0V9+Ze3ewHU1We7H/Av+x9r04sio421+Iaq8BoOHcWq2LuJceLnw==" saltValue="DDizY8vUvh3Ipc2tyFutGA==" spinCount="100000" sheet="1" formatCells="0" formatColumns="0" formatRows="0" insertColumns="0" insertRows="0" insertHyperlinks="0"/>
  <mergeCells count="222">
    <mergeCell ref="A1:M1"/>
    <mergeCell ref="A2:B3"/>
    <mergeCell ref="C2:D3"/>
    <mergeCell ref="E2:F3"/>
    <mergeCell ref="G2:G3"/>
    <mergeCell ref="A6:B7"/>
    <mergeCell ref="C6:D7"/>
    <mergeCell ref="E6:F7"/>
    <mergeCell ref="G6:G7"/>
    <mergeCell ref="A4:B5"/>
    <mergeCell ref="C4:D5"/>
    <mergeCell ref="E4:F5"/>
    <mergeCell ref="G4:G5"/>
    <mergeCell ref="H2:H3"/>
    <mergeCell ref="I2:M3"/>
    <mergeCell ref="H4:H5"/>
    <mergeCell ref="I4:M5"/>
    <mergeCell ref="H6:H7"/>
    <mergeCell ref="I6:M7"/>
    <mergeCell ref="C10:D10"/>
    <mergeCell ref="H10:J10"/>
    <mergeCell ref="K10:L10"/>
    <mergeCell ref="C11:D11"/>
    <mergeCell ref="C12:D12"/>
    <mergeCell ref="C13:D13"/>
    <mergeCell ref="A8:B9"/>
    <mergeCell ref="C8:D9"/>
    <mergeCell ref="E8:F9"/>
    <mergeCell ref="G8:G9"/>
    <mergeCell ref="H8:H9"/>
    <mergeCell ref="I8:M9"/>
    <mergeCell ref="C20:D20"/>
    <mergeCell ref="C21:M21"/>
    <mergeCell ref="C22:D22"/>
    <mergeCell ref="C23:M23"/>
    <mergeCell ref="C24:D24"/>
    <mergeCell ref="C25:M25"/>
    <mergeCell ref="C14:M14"/>
    <mergeCell ref="C15:D15"/>
    <mergeCell ref="C16:D16"/>
    <mergeCell ref="C17:M17"/>
    <mergeCell ref="C18:D18"/>
    <mergeCell ref="C19:M19"/>
    <mergeCell ref="C32:D32"/>
    <mergeCell ref="C33:D33"/>
    <mergeCell ref="C34:M34"/>
    <mergeCell ref="C35:D35"/>
    <mergeCell ref="C36:M36"/>
    <mergeCell ref="C37:D37"/>
    <mergeCell ref="C26:D26"/>
    <mergeCell ref="C27:M27"/>
    <mergeCell ref="C28:D28"/>
    <mergeCell ref="C29:M29"/>
    <mergeCell ref="C30:D30"/>
    <mergeCell ref="C31:M31"/>
    <mergeCell ref="C44:D44"/>
    <mergeCell ref="C45:M45"/>
    <mergeCell ref="C46:D46"/>
    <mergeCell ref="C47:M47"/>
    <mergeCell ref="C48:D48"/>
    <mergeCell ref="C49:M49"/>
    <mergeCell ref="C38:D38"/>
    <mergeCell ref="C39:M39"/>
    <mergeCell ref="C40:D40"/>
    <mergeCell ref="C41:M41"/>
    <mergeCell ref="C42:D42"/>
    <mergeCell ref="C43:M43"/>
    <mergeCell ref="C56:M56"/>
    <mergeCell ref="C57:D57"/>
    <mergeCell ref="C58:D58"/>
    <mergeCell ref="C59:M59"/>
    <mergeCell ref="C60:D60"/>
    <mergeCell ref="C61:M61"/>
    <mergeCell ref="C50:D50"/>
    <mergeCell ref="C51:M51"/>
    <mergeCell ref="C52:D52"/>
    <mergeCell ref="C53:D53"/>
    <mergeCell ref="C54:M54"/>
    <mergeCell ref="C55:D55"/>
    <mergeCell ref="C68:D68"/>
    <mergeCell ref="C69:M69"/>
    <mergeCell ref="C70:D70"/>
    <mergeCell ref="C71:M71"/>
    <mergeCell ref="C72:D72"/>
    <mergeCell ref="C73:M73"/>
    <mergeCell ref="C62:D62"/>
    <mergeCell ref="C63:M63"/>
    <mergeCell ref="C64:D64"/>
    <mergeCell ref="C65:M65"/>
    <mergeCell ref="C66:D66"/>
    <mergeCell ref="C67:M67"/>
    <mergeCell ref="C80:D80"/>
    <mergeCell ref="C81:D81"/>
    <mergeCell ref="C82:M82"/>
    <mergeCell ref="C83:D83"/>
    <mergeCell ref="C84:D84"/>
    <mergeCell ref="C85:M85"/>
    <mergeCell ref="C74:D74"/>
    <mergeCell ref="C75:D75"/>
    <mergeCell ref="C76:M76"/>
    <mergeCell ref="C77:D77"/>
    <mergeCell ref="C78:D78"/>
    <mergeCell ref="C79:M79"/>
    <mergeCell ref="C92:M92"/>
    <mergeCell ref="C93:D93"/>
    <mergeCell ref="C94:D94"/>
    <mergeCell ref="C95:M95"/>
    <mergeCell ref="C96:D96"/>
    <mergeCell ref="C97:M97"/>
    <mergeCell ref="C86:D86"/>
    <mergeCell ref="C87:M87"/>
    <mergeCell ref="C88:D88"/>
    <mergeCell ref="C89:D89"/>
    <mergeCell ref="C90:M90"/>
    <mergeCell ref="C91:D91"/>
    <mergeCell ref="C104:D104"/>
    <mergeCell ref="C105:M105"/>
    <mergeCell ref="C106:D106"/>
    <mergeCell ref="C107:M107"/>
    <mergeCell ref="C108:D108"/>
    <mergeCell ref="C109:M109"/>
    <mergeCell ref="C98:D98"/>
    <mergeCell ref="C99:D99"/>
    <mergeCell ref="C100:M100"/>
    <mergeCell ref="C101:D101"/>
    <mergeCell ref="C102:D102"/>
    <mergeCell ref="C103:M103"/>
    <mergeCell ref="C116:D116"/>
    <mergeCell ref="C117:M117"/>
    <mergeCell ref="C118:D118"/>
    <mergeCell ref="C119:M119"/>
    <mergeCell ref="C120:D120"/>
    <mergeCell ref="C121:D121"/>
    <mergeCell ref="C110:D110"/>
    <mergeCell ref="C111:M111"/>
    <mergeCell ref="C112:D112"/>
    <mergeCell ref="C113:M113"/>
    <mergeCell ref="C114:D114"/>
    <mergeCell ref="C115:M115"/>
    <mergeCell ref="C128:M128"/>
    <mergeCell ref="C129:D129"/>
    <mergeCell ref="C130:M130"/>
    <mergeCell ref="C131:D131"/>
    <mergeCell ref="C132:D132"/>
    <mergeCell ref="C133:M133"/>
    <mergeCell ref="C122:M122"/>
    <mergeCell ref="C123:D123"/>
    <mergeCell ref="C124:M124"/>
    <mergeCell ref="C125:D125"/>
    <mergeCell ref="C126:M126"/>
    <mergeCell ref="C127:D127"/>
    <mergeCell ref="C140:D140"/>
    <mergeCell ref="C141:D141"/>
    <mergeCell ref="C142:M142"/>
    <mergeCell ref="C143:D143"/>
    <mergeCell ref="C144:M144"/>
    <mergeCell ref="C145:D145"/>
    <mergeCell ref="C134:D134"/>
    <mergeCell ref="C135:M135"/>
    <mergeCell ref="C136:D136"/>
    <mergeCell ref="C137:M137"/>
    <mergeCell ref="C138:D138"/>
    <mergeCell ref="C139:M139"/>
    <mergeCell ref="C152:M152"/>
    <mergeCell ref="C153:D153"/>
    <mergeCell ref="C154:D154"/>
    <mergeCell ref="C155:D155"/>
    <mergeCell ref="C156:M156"/>
    <mergeCell ref="C157:D157"/>
    <mergeCell ref="C146:M146"/>
    <mergeCell ref="C147:D147"/>
    <mergeCell ref="C148:M148"/>
    <mergeCell ref="C149:D149"/>
    <mergeCell ref="C150:M150"/>
    <mergeCell ref="C151:D151"/>
    <mergeCell ref="C164:D164"/>
    <mergeCell ref="C165:D165"/>
    <mergeCell ref="C166:D166"/>
    <mergeCell ref="C167:D167"/>
    <mergeCell ref="C168:D168"/>
    <mergeCell ref="C169:D169"/>
    <mergeCell ref="C158:D158"/>
    <mergeCell ref="C159:D159"/>
    <mergeCell ref="C160:M160"/>
    <mergeCell ref="C161:D161"/>
    <mergeCell ref="C162:M162"/>
    <mergeCell ref="C163:D163"/>
    <mergeCell ref="C176:M176"/>
    <mergeCell ref="C177:D177"/>
    <mergeCell ref="C178:D178"/>
    <mergeCell ref="C179:M179"/>
    <mergeCell ref="C180:D180"/>
    <mergeCell ref="C181:M181"/>
    <mergeCell ref="C170:D170"/>
    <mergeCell ref="C171:D171"/>
    <mergeCell ref="C172:D172"/>
    <mergeCell ref="C173:M173"/>
    <mergeCell ref="C174:D174"/>
    <mergeCell ref="C175:D175"/>
    <mergeCell ref="C188:D188"/>
    <mergeCell ref="C189:D189"/>
    <mergeCell ref="C190:D190"/>
    <mergeCell ref="C191:D191"/>
    <mergeCell ref="C192:D192"/>
    <mergeCell ref="C193:D193"/>
    <mergeCell ref="C182:D182"/>
    <mergeCell ref="C183:D183"/>
    <mergeCell ref="C184:M184"/>
    <mergeCell ref="C185:D185"/>
    <mergeCell ref="C186:D186"/>
    <mergeCell ref="C187:D187"/>
    <mergeCell ref="C200:M200"/>
    <mergeCell ref="C201:D201"/>
    <mergeCell ref="C202:M202"/>
    <mergeCell ref="H203:I203"/>
    <mergeCell ref="A205:M205"/>
    <mergeCell ref="C194:D194"/>
    <mergeCell ref="C195:D195"/>
    <mergeCell ref="C196:M196"/>
    <mergeCell ref="C197:D197"/>
    <mergeCell ref="C198:M198"/>
    <mergeCell ref="C199:D199"/>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6" manualBreakCount="6">
    <brk id="27" max="12" man="1"/>
    <brk id="51" max="12" man="1"/>
    <brk id="79" max="12" man="1"/>
    <brk id="115" max="12" man="1"/>
    <brk id="146" max="12" man="1"/>
    <brk id="181" max="12"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593B22-3F02-4EB0-9C8C-8AFFC4241EE5}">
  <sheetPr codeName="List8">
    <pageSetUpPr fitToPage="1"/>
  </sheetPr>
  <dimension ref="A1:BV171"/>
  <sheetViews>
    <sheetView view="pageBreakPreview" zoomScale="55" zoomScaleNormal="40" zoomScaleSheetLayoutView="55" workbookViewId="0">
      <pane ySplit="11" topLeftCell="A12" activePane="bottomLeft" state="frozen"/>
      <selection activeCell="D44" sqref="D44"/>
      <selection pane="bottomLeft" activeCell="C44" sqref="C44:D44"/>
    </sheetView>
  </sheetViews>
  <sheetFormatPr defaultColWidth="12.140625" defaultRowHeight="15" customHeight="1" x14ac:dyDescent="0.25"/>
  <cols>
    <col min="1" max="1" width="5.7109375" style="66" customWidth="1"/>
    <col min="2" max="2" width="16.7109375" style="66" customWidth="1"/>
    <col min="3" max="3" width="81.28515625" style="66" customWidth="1"/>
    <col min="4" max="4" width="12.7109375" style="66" customWidth="1"/>
    <col min="5" max="5" width="8.7109375" style="66" customWidth="1"/>
    <col min="6" max="6" width="10.7109375" style="66" customWidth="1"/>
    <col min="7" max="13" width="14.7109375" style="66" customWidth="1"/>
    <col min="14" max="73" width="12.140625" style="66"/>
    <col min="74" max="74" width="78.5703125" style="66" hidden="1" customWidth="1"/>
    <col min="75" max="16384" width="12.140625" style="66"/>
  </cols>
  <sheetData>
    <row r="1" spans="1:74" ht="54.75" customHeight="1" thickBot="1" x14ac:dyDescent="0.3">
      <c r="A1" s="339" t="s">
        <v>1395</v>
      </c>
      <c r="B1" s="340"/>
      <c r="C1" s="340"/>
      <c r="D1" s="340"/>
      <c r="E1" s="340"/>
      <c r="F1" s="340"/>
      <c r="G1" s="340"/>
      <c r="H1" s="340"/>
      <c r="I1" s="340"/>
      <c r="J1" s="340"/>
      <c r="K1" s="340"/>
      <c r="L1" s="340"/>
      <c r="M1" s="341"/>
      <c r="AQ1" s="67">
        <f>SUM(AH1:AH2)</f>
        <v>0</v>
      </c>
      <c r="AR1" s="67">
        <f>SUM(AI1:AI2)</f>
        <v>0</v>
      </c>
      <c r="AS1" s="67">
        <f>SUM(AJ1:AJ2)</f>
        <v>0</v>
      </c>
    </row>
    <row r="2" spans="1:74" ht="15" customHeight="1" x14ac:dyDescent="0.25">
      <c r="A2" s="342" t="s">
        <v>84</v>
      </c>
      <c r="B2" s="313"/>
      <c r="C2" s="343" t="s">
        <v>1232</v>
      </c>
      <c r="D2" s="344"/>
      <c r="E2" s="313" t="s">
        <v>86</v>
      </c>
      <c r="F2" s="313"/>
      <c r="G2" s="346" t="s">
        <v>1230</v>
      </c>
      <c r="H2" s="351" t="s">
        <v>1211</v>
      </c>
      <c r="I2" s="352" t="s">
        <v>1394</v>
      </c>
      <c r="J2" s="352"/>
      <c r="K2" s="352"/>
      <c r="L2" s="352"/>
      <c r="M2" s="353"/>
    </row>
    <row r="3" spans="1:74" x14ac:dyDescent="0.25">
      <c r="A3" s="328"/>
      <c r="B3" s="307"/>
      <c r="C3" s="345"/>
      <c r="D3" s="345"/>
      <c r="E3" s="307"/>
      <c r="F3" s="307"/>
      <c r="G3" s="332"/>
      <c r="H3" s="334"/>
      <c r="I3" s="329"/>
      <c r="J3" s="329"/>
      <c r="K3" s="329"/>
      <c r="L3" s="329"/>
      <c r="M3" s="335"/>
    </row>
    <row r="4" spans="1:74" ht="15" customHeight="1" x14ac:dyDescent="0.25">
      <c r="A4" s="327" t="s">
        <v>88</v>
      </c>
      <c r="B4" s="307"/>
      <c r="C4" s="329" t="s">
        <v>89</v>
      </c>
      <c r="D4" s="330"/>
      <c r="E4" s="307" t="s">
        <v>90</v>
      </c>
      <c r="F4" s="307"/>
      <c r="G4" s="331" t="s">
        <v>1230</v>
      </c>
      <c r="H4" s="333" t="s">
        <v>1213</v>
      </c>
      <c r="I4" s="329" t="s">
        <v>1227</v>
      </c>
      <c r="J4" s="329"/>
      <c r="K4" s="329"/>
      <c r="L4" s="329"/>
      <c r="M4" s="335"/>
    </row>
    <row r="5" spans="1:74" x14ac:dyDescent="0.25">
      <c r="A5" s="328"/>
      <c r="B5" s="307"/>
      <c r="C5" s="330"/>
      <c r="D5" s="330"/>
      <c r="E5" s="307"/>
      <c r="F5" s="307"/>
      <c r="G5" s="332"/>
      <c r="H5" s="334"/>
      <c r="I5" s="329"/>
      <c r="J5" s="329"/>
      <c r="K5" s="329"/>
      <c r="L5" s="329"/>
      <c r="M5" s="335"/>
    </row>
    <row r="6" spans="1:74" ht="15" customHeight="1" x14ac:dyDescent="0.25">
      <c r="A6" s="327" t="s">
        <v>91</v>
      </c>
      <c r="B6" s="307"/>
      <c r="C6" s="329" t="s">
        <v>92</v>
      </c>
      <c r="D6" s="330"/>
      <c r="E6" s="307" t="s">
        <v>93</v>
      </c>
      <c r="F6" s="307"/>
      <c r="G6" s="331" t="s">
        <v>1230</v>
      </c>
      <c r="H6" s="333" t="s">
        <v>1214</v>
      </c>
      <c r="I6" s="329" t="s">
        <v>94</v>
      </c>
      <c r="J6" s="329"/>
      <c r="K6" s="329"/>
      <c r="L6" s="329"/>
      <c r="M6" s="335"/>
    </row>
    <row r="7" spans="1:74" x14ac:dyDescent="0.25">
      <c r="A7" s="328"/>
      <c r="B7" s="307"/>
      <c r="C7" s="330"/>
      <c r="D7" s="330"/>
      <c r="E7" s="307"/>
      <c r="F7" s="307"/>
      <c r="G7" s="332"/>
      <c r="H7" s="334"/>
      <c r="I7" s="329"/>
      <c r="J7" s="329"/>
      <c r="K7" s="329"/>
      <c r="L7" s="329"/>
      <c r="M7" s="335"/>
    </row>
    <row r="8" spans="1:74" x14ac:dyDescent="0.25">
      <c r="A8" s="327" t="s">
        <v>95</v>
      </c>
      <c r="B8" s="307"/>
      <c r="C8" s="329" t="s">
        <v>96</v>
      </c>
      <c r="D8" s="330"/>
      <c r="E8" s="307" t="s">
        <v>97</v>
      </c>
      <c r="F8" s="307"/>
      <c r="G8" s="349">
        <v>45454</v>
      </c>
      <c r="H8" s="333" t="s">
        <v>1216</v>
      </c>
      <c r="I8" s="329" t="s">
        <v>1228</v>
      </c>
      <c r="J8" s="329"/>
      <c r="K8" s="329"/>
      <c r="L8" s="329"/>
      <c r="M8" s="335"/>
    </row>
    <row r="9" spans="1:74" ht="15.75" thickBot="1" x14ac:dyDescent="0.3">
      <c r="A9" s="347"/>
      <c r="B9" s="317"/>
      <c r="C9" s="348"/>
      <c r="D9" s="348"/>
      <c r="E9" s="317"/>
      <c r="F9" s="317"/>
      <c r="G9" s="350"/>
      <c r="H9" s="336"/>
      <c r="I9" s="337"/>
      <c r="J9" s="337"/>
      <c r="K9" s="337"/>
      <c r="L9" s="337"/>
      <c r="M9" s="338"/>
    </row>
    <row r="10" spans="1:74" x14ac:dyDescent="0.25">
      <c r="A10" s="110" t="s">
        <v>98</v>
      </c>
      <c r="B10" s="111" t="s">
        <v>99</v>
      </c>
      <c r="C10" s="322" t="s">
        <v>100</v>
      </c>
      <c r="D10" s="323"/>
      <c r="E10" s="111" t="s">
        <v>101</v>
      </c>
      <c r="F10" s="112" t="s">
        <v>102</v>
      </c>
      <c r="G10" s="113" t="s">
        <v>103</v>
      </c>
      <c r="H10" s="324" t="s">
        <v>104</v>
      </c>
      <c r="I10" s="325"/>
      <c r="J10" s="326"/>
      <c r="K10" s="325" t="s">
        <v>105</v>
      </c>
      <c r="L10" s="325"/>
      <c r="M10" s="114" t="s">
        <v>106</v>
      </c>
      <c r="BI10" s="71" t="s">
        <v>107</v>
      </c>
      <c r="BJ10" s="72" t="s">
        <v>108</v>
      </c>
      <c r="BU10" s="72" t="s">
        <v>109</v>
      </c>
    </row>
    <row r="11" spans="1:74" ht="15.75" thickBot="1" x14ac:dyDescent="0.3">
      <c r="A11" s="115" t="s">
        <v>87</v>
      </c>
      <c r="B11" s="116" t="s">
        <v>87</v>
      </c>
      <c r="C11" s="320" t="s">
        <v>110</v>
      </c>
      <c r="D11" s="321"/>
      <c r="E11" s="116" t="s">
        <v>87</v>
      </c>
      <c r="F11" s="116" t="s">
        <v>87</v>
      </c>
      <c r="G11" s="117" t="s">
        <v>111</v>
      </c>
      <c r="H11" s="118" t="s">
        <v>112</v>
      </c>
      <c r="I11" s="119" t="s">
        <v>113</v>
      </c>
      <c r="J11" s="120" t="s">
        <v>114</v>
      </c>
      <c r="K11" s="119" t="s">
        <v>115</v>
      </c>
      <c r="L11" s="117" t="s">
        <v>114</v>
      </c>
      <c r="M11" s="121" t="s">
        <v>116</v>
      </c>
      <c r="X11" s="71" t="s">
        <v>117</v>
      </c>
      <c r="Y11" s="71" t="s">
        <v>118</v>
      </c>
      <c r="Z11" s="71" t="s">
        <v>119</v>
      </c>
      <c r="AA11" s="71" t="s">
        <v>120</v>
      </c>
      <c r="AB11" s="71" t="s">
        <v>121</v>
      </c>
      <c r="AC11" s="71" t="s">
        <v>122</v>
      </c>
      <c r="AD11" s="71" t="s">
        <v>123</v>
      </c>
      <c r="AE11" s="71" t="s">
        <v>124</v>
      </c>
      <c r="AF11" s="71" t="s">
        <v>125</v>
      </c>
      <c r="BF11" s="71" t="s">
        <v>126</v>
      </c>
      <c r="BG11" s="71" t="s">
        <v>127</v>
      </c>
      <c r="BH11" s="71" t="s">
        <v>128</v>
      </c>
    </row>
    <row r="12" spans="1:74" x14ac:dyDescent="0.25">
      <c r="A12" s="97" t="s">
        <v>129</v>
      </c>
      <c r="B12" s="98" t="s">
        <v>130</v>
      </c>
      <c r="C12" s="318" t="s">
        <v>131</v>
      </c>
      <c r="D12" s="319"/>
      <c r="E12" s="99" t="s">
        <v>87</v>
      </c>
      <c r="F12" s="99" t="s">
        <v>87</v>
      </c>
      <c r="G12" s="99" t="s">
        <v>87</v>
      </c>
      <c r="H12" s="100">
        <f>SUM(H13:H13)</f>
        <v>0</v>
      </c>
      <c r="I12" s="100">
        <f>SUM(I13:I13)</f>
        <v>0</v>
      </c>
      <c r="J12" s="100">
        <f>SUM(J13:J13)</f>
        <v>0</v>
      </c>
      <c r="K12" s="101" t="s">
        <v>129</v>
      </c>
      <c r="L12" s="100">
        <f>SUM(L13:L13)</f>
        <v>0</v>
      </c>
      <c r="M12" s="102" t="s">
        <v>129</v>
      </c>
      <c r="AG12" s="71" t="s">
        <v>129</v>
      </c>
      <c r="AQ12" s="67">
        <f>SUM(AH13:AH13)</f>
        <v>0</v>
      </c>
      <c r="AR12" s="67">
        <f>SUM(AI13:AI13)</f>
        <v>0</v>
      </c>
      <c r="AS12" s="67">
        <f>SUM(AJ13:AJ13)</f>
        <v>0</v>
      </c>
    </row>
    <row r="13" spans="1:74" x14ac:dyDescent="0.25">
      <c r="A13" s="92" t="s">
        <v>132</v>
      </c>
      <c r="B13" s="69" t="s">
        <v>133</v>
      </c>
      <c r="C13" s="306" t="s">
        <v>134</v>
      </c>
      <c r="D13" s="307"/>
      <c r="E13" s="69" t="s">
        <v>135</v>
      </c>
      <c r="F13" s="77">
        <v>2</v>
      </c>
      <c r="G13" s="218">
        <v>0</v>
      </c>
      <c r="H13" s="77">
        <f>F13*AM13</f>
        <v>0</v>
      </c>
      <c r="I13" s="77">
        <f>F13*AN13</f>
        <v>0</v>
      </c>
      <c r="J13" s="77">
        <f>F13*G13</f>
        <v>0</v>
      </c>
      <c r="K13" s="77">
        <v>0</v>
      </c>
      <c r="L13" s="77">
        <f>F13*K13</f>
        <v>0</v>
      </c>
      <c r="M13" s="103" t="s">
        <v>129</v>
      </c>
      <c r="X13" s="77">
        <f>IF(AO13="5",BH13,0)</f>
        <v>0</v>
      </c>
      <c r="Z13" s="77">
        <f>IF(AO13="1",BF13,0)</f>
        <v>0</v>
      </c>
      <c r="AA13" s="77">
        <f>IF(AO13="1",BG13,0)</f>
        <v>0</v>
      </c>
      <c r="AB13" s="77">
        <f>IF(AO13="7",BF13,0)</f>
        <v>0</v>
      </c>
      <c r="AC13" s="77">
        <f>IF(AO13="7",BG13,0)</f>
        <v>0</v>
      </c>
      <c r="AD13" s="77">
        <f>IF(AO13="2",BF13,0)</f>
        <v>0</v>
      </c>
      <c r="AE13" s="77">
        <f>IF(AO13="2",BG13,0)</f>
        <v>0</v>
      </c>
      <c r="AF13" s="77">
        <f>IF(AO13="0",BH13,0)</f>
        <v>0</v>
      </c>
      <c r="AG13" s="71" t="s">
        <v>129</v>
      </c>
      <c r="AH13" s="77">
        <f>IF(AL13=0,J13,0)</f>
        <v>0</v>
      </c>
      <c r="AI13" s="77">
        <f>IF(AL13=15,J13,0)</f>
        <v>0</v>
      </c>
      <c r="AJ13" s="77">
        <f>IF(AL13=21,J13,0)</f>
        <v>0</v>
      </c>
      <c r="AL13" s="77">
        <v>15</v>
      </c>
      <c r="AM13" s="77">
        <f>G13*0.125865324</f>
        <v>0</v>
      </c>
      <c r="AN13" s="77">
        <f>G13*(1-0.125865324)</f>
        <v>0</v>
      </c>
      <c r="AO13" s="79" t="s">
        <v>132</v>
      </c>
      <c r="AT13" s="77">
        <f>AU13+AV13</f>
        <v>0</v>
      </c>
      <c r="AU13" s="77">
        <f>F13*AM13</f>
        <v>0</v>
      </c>
      <c r="AV13" s="77">
        <f>F13*AN13</f>
        <v>0</v>
      </c>
      <c r="AW13" s="79" t="s">
        <v>136</v>
      </c>
      <c r="AX13" s="79" t="s">
        <v>136</v>
      </c>
      <c r="AY13" s="71" t="s">
        <v>137</v>
      </c>
      <c r="BA13" s="77">
        <f>AU13+AV13</f>
        <v>0</v>
      </c>
      <c r="BB13" s="77">
        <f>G13/(100-BC13)*100</f>
        <v>0</v>
      </c>
      <c r="BC13" s="77">
        <v>0</v>
      </c>
      <c r="BD13" s="77">
        <f>L13</f>
        <v>0</v>
      </c>
      <c r="BF13" s="77">
        <f>F13*AM13</f>
        <v>0</v>
      </c>
      <c r="BG13" s="77">
        <f>F13*AN13</f>
        <v>0</v>
      </c>
      <c r="BH13" s="77">
        <f>F13*G13</f>
        <v>0</v>
      </c>
      <c r="BI13" s="77"/>
      <c r="BJ13" s="77">
        <v>0</v>
      </c>
      <c r="BU13" s="77" t="e">
        <f>#REF!</f>
        <v>#REF!</v>
      </c>
      <c r="BV13" s="70" t="s">
        <v>134</v>
      </c>
    </row>
    <row r="14" spans="1:74" ht="40.5" customHeight="1" x14ac:dyDescent="0.25">
      <c r="A14" s="104"/>
      <c r="B14" s="81" t="s">
        <v>138</v>
      </c>
      <c r="C14" s="303" t="s">
        <v>139</v>
      </c>
      <c r="D14" s="304"/>
      <c r="E14" s="304"/>
      <c r="F14" s="304"/>
      <c r="G14" s="304"/>
      <c r="H14" s="304"/>
      <c r="I14" s="304"/>
      <c r="J14" s="304"/>
      <c r="K14" s="304"/>
      <c r="L14" s="304"/>
      <c r="M14" s="305"/>
    </row>
    <row r="15" spans="1:74" x14ac:dyDescent="0.25">
      <c r="A15" s="105" t="s">
        <v>129</v>
      </c>
      <c r="B15" s="74" t="s">
        <v>140</v>
      </c>
      <c r="C15" s="314" t="s">
        <v>141</v>
      </c>
      <c r="D15" s="315"/>
      <c r="E15" s="75" t="s">
        <v>87</v>
      </c>
      <c r="F15" s="75" t="s">
        <v>87</v>
      </c>
      <c r="G15" s="75" t="s">
        <v>87</v>
      </c>
      <c r="H15" s="67">
        <f>SUM(H16:H26)</f>
        <v>0</v>
      </c>
      <c r="I15" s="67">
        <f>SUM(I16:I26)</f>
        <v>0</v>
      </c>
      <c r="J15" s="67">
        <f>SUM(J16:J26)</f>
        <v>0</v>
      </c>
      <c r="K15" s="71" t="s">
        <v>129</v>
      </c>
      <c r="L15" s="67">
        <f>SUM(L16:L26)</f>
        <v>175.50112590000003</v>
      </c>
      <c r="M15" s="106" t="s">
        <v>129</v>
      </c>
      <c r="AG15" s="71" t="s">
        <v>129</v>
      </c>
      <c r="AQ15" s="67">
        <f>SUM(AH16:AH26)</f>
        <v>0</v>
      </c>
      <c r="AR15" s="67">
        <f>SUM(AI16:AI26)</f>
        <v>0</v>
      </c>
      <c r="AS15" s="67">
        <f>SUM(AJ16:AJ26)</f>
        <v>0</v>
      </c>
    </row>
    <row r="16" spans="1:74" x14ac:dyDescent="0.25">
      <c r="A16" s="92" t="s">
        <v>142</v>
      </c>
      <c r="B16" s="69" t="s">
        <v>143</v>
      </c>
      <c r="C16" s="306" t="s">
        <v>144</v>
      </c>
      <c r="D16" s="307"/>
      <c r="E16" s="69" t="s">
        <v>145</v>
      </c>
      <c r="F16" s="77">
        <v>3.46</v>
      </c>
      <c r="G16" s="218">
        <v>0</v>
      </c>
      <c r="H16" s="77">
        <f>F16*AM16</f>
        <v>0</v>
      </c>
      <c r="I16" s="77">
        <f>F16*AN16</f>
        <v>0</v>
      </c>
      <c r="J16" s="77">
        <f>F16*G16</f>
        <v>0</v>
      </c>
      <c r="K16" s="77">
        <v>8.6899999999999998E-3</v>
      </c>
      <c r="L16" s="77">
        <f>F16*K16</f>
        <v>3.0067399999999998E-2</v>
      </c>
      <c r="M16" s="103" t="s">
        <v>35</v>
      </c>
      <c r="X16" s="77">
        <f>IF(AO16="5",BH16,0)</f>
        <v>0</v>
      </c>
      <c r="Z16" s="77">
        <f>IF(AO16="1",BF16,0)</f>
        <v>0</v>
      </c>
      <c r="AA16" s="77">
        <f>IF(AO16="1",BG16,0)</f>
        <v>0</v>
      </c>
      <c r="AB16" s="77">
        <f>IF(AO16="7",BF16,0)</f>
        <v>0</v>
      </c>
      <c r="AC16" s="77">
        <f>IF(AO16="7",BG16,0)</f>
        <v>0</v>
      </c>
      <c r="AD16" s="77">
        <f>IF(AO16="2",BF16,0)</f>
        <v>0</v>
      </c>
      <c r="AE16" s="77">
        <f>IF(AO16="2",BG16,0)</f>
        <v>0</v>
      </c>
      <c r="AF16" s="77">
        <f>IF(AO16="0",BH16,0)</f>
        <v>0</v>
      </c>
      <c r="AG16" s="71" t="s">
        <v>129</v>
      </c>
      <c r="AH16" s="77">
        <f>IF(AL16=0,J16,0)</f>
        <v>0</v>
      </c>
      <c r="AI16" s="77">
        <f>IF(AL16=15,J16,0)</f>
        <v>0</v>
      </c>
      <c r="AJ16" s="77">
        <f>IF(AL16=21,J16,0)</f>
        <v>0</v>
      </c>
      <c r="AL16" s="77">
        <v>15</v>
      </c>
      <c r="AM16" s="77">
        <f>G16*0.061949507</f>
        <v>0</v>
      </c>
      <c r="AN16" s="77">
        <f>G16*(1-0.061949507)</f>
        <v>0</v>
      </c>
      <c r="AO16" s="79" t="s">
        <v>132</v>
      </c>
      <c r="AT16" s="77">
        <f>AU16+AV16</f>
        <v>0</v>
      </c>
      <c r="AU16" s="77">
        <f>F16*AM16</f>
        <v>0</v>
      </c>
      <c r="AV16" s="77">
        <f>F16*AN16</f>
        <v>0</v>
      </c>
      <c r="AW16" s="79" t="s">
        <v>146</v>
      </c>
      <c r="AX16" s="79" t="s">
        <v>147</v>
      </c>
      <c r="AY16" s="71" t="s">
        <v>137</v>
      </c>
      <c r="BA16" s="77">
        <f>AU16+AV16</f>
        <v>0</v>
      </c>
      <c r="BB16" s="77">
        <f>G16/(100-BC16)*100</f>
        <v>0</v>
      </c>
      <c r="BC16" s="77">
        <v>0</v>
      </c>
      <c r="BD16" s="77">
        <f>L16</f>
        <v>3.0067399999999998E-2</v>
      </c>
      <c r="BF16" s="77">
        <f>F16*AM16</f>
        <v>0</v>
      </c>
      <c r="BG16" s="77">
        <f>F16*AN16</f>
        <v>0</v>
      </c>
      <c r="BH16" s="77">
        <f>F16*G16</f>
        <v>0</v>
      </c>
      <c r="BI16" s="77"/>
      <c r="BJ16" s="77">
        <v>11</v>
      </c>
      <c r="BU16" s="77" t="e">
        <f>#REF!</f>
        <v>#REF!</v>
      </c>
      <c r="BV16" s="70" t="s">
        <v>144</v>
      </c>
    </row>
    <row r="17" spans="1:74" ht="40.5" customHeight="1" x14ac:dyDescent="0.25">
      <c r="A17" s="104"/>
      <c r="B17" s="81" t="s">
        <v>138</v>
      </c>
      <c r="C17" s="303" t="s">
        <v>148</v>
      </c>
      <c r="D17" s="304"/>
      <c r="E17" s="304"/>
      <c r="F17" s="304"/>
      <c r="G17" s="304"/>
      <c r="H17" s="304"/>
      <c r="I17" s="304"/>
      <c r="J17" s="304"/>
      <c r="K17" s="304"/>
      <c r="L17" s="304"/>
      <c r="M17" s="305"/>
    </row>
    <row r="18" spans="1:74" x14ac:dyDescent="0.25">
      <c r="A18" s="92" t="s">
        <v>149</v>
      </c>
      <c r="B18" s="69" t="s">
        <v>150</v>
      </c>
      <c r="C18" s="306" t="s">
        <v>151</v>
      </c>
      <c r="D18" s="307"/>
      <c r="E18" s="69" t="s">
        <v>145</v>
      </c>
      <c r="F18" s="77">
        <v>1.73</v>
      </c>
      <c r="G18" s="218">
        <v>0</v>
      </c>
      <c r="H18" s="77">
        <f>F18*AM18</f>
        <v>0</v>
      </c>
      <c r="I18" s="77">
        <f>F18*AN18</f>
        <v>0</v>
      </c>
      <c r="J18" s="77">
        <f>F18*G18</f>
        <v>0</v>
      </c>
      <c r="K18" s="77">
        <v>2.478E-2</v>
      </c>
      <c r="L18" s="77">
        <f>F18*K18</f>
        <v>4.2869400000000002E-2</v>
      </c>
      <c r="M18" s="103" t="s">
        <v>35</v>
      </c>
      <c r="X18" s="77">
        <f>IF(AO18="5",BH18,0)</f>
        <v>0</v>
      </c>
      <c r="Z18" s="77">
        <f>IF(AO18="1",BF18,0)</f>
        <v>0</v>
      </c>
      <c r="AA18" s="77">
        <f>IF(AO18="1",BG18,0)</f>
        <v>0</v>
      </c>
      <c r="AB18" s="77">
        <f>IF(AO18="7",BF18,0)</f>
        <v>0</v>
      </c>
      <c r="AC18" s="77">
        <f>IF(AO18="7",BG18,0)</f>
        <v>0</v>
      </c>
      <c r="AD18" s="77">
        <f>IF(AO18="2",BF18,0)</f>
        <v>0</v>
      </c>
      <c r="AE18" s="77">
        <f>IF(AO18="2",BG18,0)</f>
        <v>0</v>
      </c>
      <c r="AF18" s="77">
        <f>IF(AO18="0",BH18,0)</f>
        <v>0</v>
      </c>
      <c r="AG18" s="71" t="s">
        <v>129</v>
      </c>
      <c r="AH18" s="77">
        <f>IF(AL18=0,J18,0)</f>
        <v>0</v>
      </c>
      <c r="AI18" s="77">
        <f>IF(AL18=15,J18,0)</f>
        <v>0</v>
      </c>
      <c r="AJ18" s="77">
        <f>IF(AL18=21,J18,0)</f>
        <v>0</v>
      </c>
      <c r="AL18" s="77">
        <v>15</v>
      </c>
      <c r="AM18" s="77">
        <f>G18*0.057576866</f>
        <v>0</v>
      </c>
      <c r="AN18" s="77">
        <f>G18*(1-0.057576866)</f>
        <v>0</v>
      </c>
      <c r="AO18" s="79" t="s">
        <v>132</v>
      </c>
      <c r="AT18" s="77">
        <f>AU18+AV18</f>
        <v>0</v>
      </c>
      <c r="AU18" s="77">
        <f>F18*AM18</f>
        <v>0</v>
      </c>
      <c r="AV18" s="77">
        <f>F18*AN18</f>
        <v>0</v>
      </c>
      <c r="AW18" s="79" t="s">
        <v>146</v>
      </c>
      <c r="AX18" s="79" t="s">
        <v>147</v>
      </c>
      <c r="AY18" s="71" t="s">
        <v>137</v>
      </c>
      <c r="BA18" s="77">
        <f>AU18+AV18</f>
        <v>0</v>
      </c>
      <c r="BB18" s="77">
        <f>G18/(100-BC18)*100</f>
        <v>0</v>
      </c>
      <c r="BC18" s="77">
        <v>0</v>
      </c>
      <c r="BD18" s="77">
        <f>L18</f>
        <v>4.2869400000000002E-2</v>
      </c>
      <c r="BF18" s="77">
        <f>F18*AM18</f>
        <v>0</v>
      </c>
      <c r="BG18" s="77">
        <f>F18*AN18</f>
        <v>0</v>
      </c>
      <c r="BH18" s="77">
        <f>F18*G18</f>
        <v>0</v>
      </c>
      <c r="BI18" s="77"/>
      <c r="BJ18" s="77">
        <v>11</v>
      </c>
      <c r="BU18" s="77" t="e">
        <f>#REF!</f>
        <v>#REF!</v>
      </c>
      <c r="BV18" s="70" t="s">
        <v>151</v>
      </c>
    </row>
    <row r="19" spans="1:74" ht="40.5" customHeight="1" x14ac:dyDescent="0.25">
      <c r="A19" s="104"/>
      <c r="B19" s="81" t="s">
        <v>138</v>
      </c>
      <c r="C19" s="303" t="s">
        <v>152</v>
      </c>
      <c r="D19" s="304"/>
      <c r="E19" s="304"/>
      <c r="F19" s="304"/>
      <c r="G19" s="304"/>
      <c r="H19" s="304"/>
      <c r="I19" s="304"/>
      <c r="J19" s="304"/>
      <c r="K19" s="304"/>
      <c r="L19" s="304"/>
      <c r="M19" s="305"/>
    </row>
    <row r="20" spans="1:74" x14ac:dyDescent="0.25">
      <c r="A20" s="92" t="s">
        <v>153</v>
      </c>
      <c r="B20" s="69" t="s">
        <v>154</v>
      </c>
      <c r="C20" s="306" t="s">
        <v>155</v>
      </c>
      <c r="D20" s="307"/>
      <c r="E20" s="69" t="s">
        <v>156</v>
      </c>
      <c r="F20" s="77">
        <v>16</v>
      </c>
      <c r="G20" s="218">
        <v>0</v>
      </c>
      <c r="H20" s="77">
        <f>F20*AM20</f>
        <v>0</v>
      </c>
      <c r="I20" s="77">
        <f>F20*AN20</f>
        <v>0</v>
      </c>
      <c r="J20" s="77">
        <f>F20*G20</f>
        <v>0</v>
      </c>
      <c r="K20" s="77">
        <v>4.0000000000000003E-5</v>
      </c>
      <c r="L20" s="77">
        <f>F20*K20</f>
        <v>6.4000000000000005E-4</v>
      </c>
      <c r="M20" s="103" t="s">
        <v>35</v>
      </c>
      <c r="X20" s="77">
        <f>IF(AO20="5",BH20,0)</f>
        <v>0</v>
      </c>
      <c r="Z20" s="77">
        <f>IF(AO20="1",BF20,0)</f>
        <v>0</v>
      </c>
      <c r="AA20" s="77">
        <f>IF(AO20="1",BG20,0)</f>
        <v>0</v>
      </c>
      <c r="AB20" s="77">
        <f>IF(AO20="7",BF20,0)</f>
        <v>0</v>
      </c>
      <c r="AC20" s="77">
        <f>IF(AO20="7",BG20,0)</f>
        <v>0</v>
      </c>
      <c r="AD20" s="77">
        <f>IF(AO20="2",BF20,0)</f>
        <v>0</v>
      </c>
      <c r="AE20" s="77">
        <f>IF(AO20="2",BG20,0)</f>
        <v>0</v>
      </c>
      <c r="AF20" s="77">
        <f>IF(AO20="0",BH20,0)</f>
        <v>0</v>
      </c>
      <c r="AG20" s="71" t="s">
        <v>129</v>
      </c>
      <c r="AH20" s="77">
        <f>IF(AL20=0,J20,0)</f>
        <v>0</v>
      </c>
      <c r="AI20" s="77">
        <f>IF(AL20=15,J20,0)</f>
        <v>0</v>
      </c>
      <c r="AJ20" s="77">
        <f>IF(AL20=21,J20,0)</f>
        <v>0</v>
      </c>
      <c r="AL20" s="77">
        <v>15</v>
      </c>
      <c r="AM20" s="77">
        <f>G20*0.005024155</f>
        <v>0</v>
      </c>
      <c r="AN20" s="77">
        <f>G20*(1-0.005024155)</f>
        <v>0</v>
      </c>
      <c r="AO20" s="79" t="s">
        <v>132</v>
      </c>
      <c r="AT20" s="77">
        <f>AU20+AV20</f>
        <v>0</v>
      </c>
      <c r="AU20" s="77">
        <f>F20*AM20</f>
        <v>0</v>
      </c>
      <c r="AV20" s="77">
        <f>F20*AN20</f>
        <v>0</v>
      </c>
      <c r="AW20" s="79" t="s">
        <v>146</v>
      </c>
      <c r="AX20" s="79" t="s">
        <v>147</v>
      </c>
      <c r="AY20" s="71" t="s">
        <v>137</v>
      </c>
      <c r="BA20" s="77">
        <f>AU20+AV20</f>
        <v>0</v>
      </c>
      <c r="BB20" s="77">
        <f>G20/(100-BC20)*100</f>
        <v>0</v>
      </c>
      <c r="BC20" s="77">
        <v>0</v>
      </c>
      <c r="BD20" s="77">
        <f>L20</f>
        <v>6.4000000000000005E-4</v>
      </c>
      <c r="BF20" s="77">
        <f>F20*AM20</f>
        <v>0</v>
      </c>
      <c r="BG20" s="77">
        <f>F20*AN20</f>
        <v>0</v>
      </c>
      <c r="BH20" s="77">
        <f>F20*G20</f>
        <v>0</v>
      </c>
      <c r="BI20" s="77"/>
      <c r="BJ20" s="77">
        <v>11</v>
      </c>
      <c r="BU20" s="77" t="e">
        <f>#REF!</f>
        <v>#REF!</v>
      </c>
      <c r="BV20" s="70" t="s">
        <v>155</v>
      </c>
    </row>
    <row r="21" spans="1:74" ht="40.5" customHeight="1" x14ac:dyDescent="0.25">
      <c r="A21" s="104"/>
      <c r="B21" s="81" t="s">
        <v>138</v>
      </c>
      <c r="C21" s="303" t="s">
        <v>157</v>
      </c>
      <c r="D21" s="304"/>
      <c r="E21" s="304"/>
      <c r="F21" s="304"/>
      <c r="G21" s="304"/>
      <c r="H21" s="304"/>
      <c r="I21" s="304"/>
      <c r="J21" s="304"/>
      <c r="K21" s="304"/>
      <c r="L21" s="304"/>
      <c r="M21" s="305"/>
    </row>
    <row r="22" spans="1:74" x14ac:dyDescent="0.25">
      <c r="A22" s="92" t="s">
        <v>158</v>
      </c>
      <c r="B22" s="69" t="s">
        <v>159</v>
      </c>
      <c r="C22" s="306" t="s">
        <v>160</v>
      </c>
      <c r="D22" s="307"/>
      <c r="E22" s="69" t="s">
        <v>161</v>
      </c>
      <c r="F22" s="77">
        <v>2</v>
      </c>
      <c r="G22" s="218">
        <v>0</v>
      </c>
      <c r="H22" s="77">
        <f>F22*AM22</f>
        <v>0</v>
      </c>
      <c r="I22" s="77">
        <f>F22*AN22</f>
        <v>0</v>
      </c>
      <c r="J22" s="77">
        <f>F22*G22</f>
        <v>0</v>
      </c>
      <c r="K22" s="77">
        <v>0</v>
      </c>
      <c r="L22" s="77">
        <f>F22*K22</f>
        <v>0</v>
      </c>
      <c r="M22" s="103" t="s">
        <v>35</v>
      </c>
      <c r="X22" s="77">
        <f>IF(AO22="5",BH22,0)</f>
        <v>0</v>
      </c>
      <c r="Z22" s="77">
        <f>IF(AO22="1",BF22,0)</f>
        <v>0</v>
      </c>
      <c r="AA22" s="77">
        <f>IF(AO22="1",BG22,0)</f>
        <v>0</v>
      </c>
      <c r="AB22" s="77">
        <f>IF(AO22="7",BF22,0)</f>
        <v>0</v>
      </c>
      <c r="AC22" s="77">
        <f>IF(AO22="7",BG22,0)</f>
        <v>0</v>
      </c>
      <c r="AD22" s="77">
        <f>IF(AO22="2",BF22,0)</f>
        <v>0</v>
      </c>
      <c r="AE22" s="77">
        <f>IF(AO22="2",BG22,0)</f>
        <v>0</v>
      </c>
      <c r="AF22" s="77">
        <f>IF(AO22="0",BH22,0)</f>
        <v>0</v>
      </c>
      <c r="AG22" s="71" t="s">
        <v>129</v>
      </c>
      <c r="AH22" s="77">
        <f>IF(AL22=0,J22,0)</f>
        <v>0</v>
      </c>
      <c r="AI22" s="77">
        <f>IF(AL22=15,J22,0)</f>
        <v>0</v>
      </c>
      <c r="AJ22" s="77">
        <f>IF(AL22=21,J22,0)</f>
        <v>0</v>
      </c>
      <c r="AL22" s="77">
        <v>15</v>
      </c>
      <c r="AM22" s="77">
        <f>G22*0</f>
        <v>0</v>
      </c>
      <c r="AN22" s="77">
        <f>G22*(1-0)</f>
        <v>0</v>
      </c>
      <c r="AO22" s="79" t="s">
        <v>132</v>
      </c>
      <c r="AT22" s="77">
        <f>AU22+AV22</f>
        <v>0</v>
      </c>
      <c r="AU22" s="77">
        <f>F22*AM22</f>
        <v>0</v>
      </c>
      <c r="AV22" s="77">
        <f>F22*AN22</f>
        <v>0</v>
      </c>
      <c r="AW22" s="79" t="s">
        <v>146</v>
      </c>
      <c r="AX22" s="79" t="s">
        <v>147</v>
      </c>
      <c r="AY22" s="71" t="s">
        <v>137</v>
      </c>
      <c r="BA22" s="77">
        <f>AU22+AV22</f>
        <v>0</v>
      </c>
      <c r="BB22" s="77">
        <f>G22/(100-BC22)*100</f>
        <v>0</v>
      </c>
      <c r="BC22" s="77">
        <v>0</v>
      </c>
      <c r="BD22" s="77">
        <f>L22</f>
        <v>0</v>
      </c>
      <c r="BF22" s="77">
        <f>F22*AM22</f>
        <v>0</v>
      </c>
      <c r="BG22" s="77">
        <f>F22*AN22</f>
        <v>0</v>
      </c>
      <c r="BH22" s="77">
        <f>F22*G22</f>
        <v>0</v>
      </c>
      <c r="BI22" s="77"/>
      <c r="BJ22" s="77">
        <v>11</v>
      </c>
      <c r="BU22" s="77" t="e">
        <f>#REF!</f>
        <v>#REF!</v>
      </c>
      <c r="BV22" s="70" t="s">
        <v>160</v>
      </c>
    </row>
    <row r="23" spans="1:74" ht="40.5" customHeight="1" x14ac:dyDescent="0.25">
      <c r="A23" s="104"/>
      <c r="B23" s="81" t="s">
        <v>138</v>
      </c>
      <c r="C23" s="303" t="s">
        <v>162</v>
      </c>
      <c r="D23" s="304"/>
      <c r="E23" s="304"/>
      <c r="F23" s="304"/>
      <c r="G23" s="304"/>
      <c r="H23" s="304"/>
      <c r="I23" s="304"/>
      <c r="J23" s="304"/>
      <c r="K23" s="304"/>
      <c r="L23" s="304"/>
      <c r="M23" s="305"/>
    </row>
    <row r="24" spans="1:74" x14ac:dyDescent="0.25">
      <c r="A24" s="92" t="s">
        <v>163</v>
      </c>
      <c r="B24" s="69" t="s">
        <v>164</v>
      </c>
      <c r="C24" s="306" t="s">
        <v>165</v>
      </c>
      <c r="D24" s="307"/>
      <c r="E24" s="69" t="s">
        <v>166</v>
      </c>
      <c r="F24" s="77">
        <v>144.41</v>
      </c>
      <c r="G24" s="218">
        <v>0</v>
      </c>
      <c r="H24" s="77">
        <f>F24*AM24</f>
        <v>0</v>
      </c>
      <c r="I24" s="77">
        <f>F24*AN24</f>
        <v>0</v>
      </c>
      <c r="J24" s="77">
        <f>F24*G24</f>
        <v>0</v>
      </c>
      <c r="K24" s="77">
        <v>0.90051000000000003</v>
      </c>
      <c r="L24" s="77">
        <f>F24*K24</f>
        <v>130.04264910000001</v>
      </c>
      <c r="M24" s="103" t="s">
        <v>35</v>
      </c>
      <c r="X24" s="77">
        <f>IF(AO24="5",BH24,0)</f>
        <v>0</v>
      </c>
      <c r="Z24" s="77">
        <f>IF(AO24="1",BF24,0)</f>
        <v>0</v>
      </c>
      <c r="AA24" s="77">
        <f>IF(AO24="1",BG24,0)</f>
        <v>0</v>
      </c>
      <c r="AB24" s="77">
        <f>IF(AO24="7",BF24,0)</f>
        <v>0</v>
      </c>
      <c r="AC24" s="77">
        <f>IF(AO24="7",BG24,0)</f>
        <v>0</v>
      </c>
      <c r="AD24" s="77">
        <f>IF(AO24="2",BF24,0)</f>
        <v>0</v>
      </c>
      <c r="AE24" s="77">
        <f>IF(AO24="2",BG24,0)</f>
        <v>0</v>
      </c>
      <c r="AF24" s="77">
        <f>IF(AO24="0",BH24,0)</f>
        <v>0</v>
      </c>
      <c r="AG24" s="71" t="s">
        <v>129</v>
      </c>
      <c r="AH24" s="77">
        <f>IF(AL24=0,J24,0)</f>
        <v>0</v>
      </c>
      <c r="AI24" s="77">
        <f>IF(AL24=15,J24,0)</f>
        <v>0</v>
      </c>
      <c r="AJ24" s="77">
        <f>IF(AL24=21,J24,0)</f>
        <v>0</v>
      </c>
      <c r="AL24" s="77">
        <v>15</v>
      </c>
      <c r="AM24" s="77">
        <f>G24*0.021948311</f>
        <v>0</v>
      </c>
      <c r="AN24" s="77">
        <f>G24*(1-0.021948311)</f>
        <v>0</v>
      </c>
      <c r="AO24" s="79" t="s">
        <v>132</v>
      </c>
      <c r="AT24" s="77">
        <f>AU24+AV24</f>
        <v>0</v>
      </c>
      <c r="AU24" s="77">
        <f>F24*AM24</f>
        <v>0</v>
      </c>
      <c r="AV24" s="77">
        <f>F24*AN24</f>
        <v>0</v>
      </c>
      <c r="AW24" s="79" t="s">
        <v>146</v>
      </c>
      <c r="AX24" s="79" t="s">
        <v>147</v>
      </c>
      <c r="AY24" s="71" t="s">
        <v>137</v>
      </c>
      <c r="BA24" s="77">
        <f>AU24+AV24</f>
        <v>0</v>
      </c>
      <c r="BB24" s="77">
        <f>G24/(100-BC24)*100</f>
        <v>0</v>
      </c>
      <c r="BC24" s="77">
        <v>0</v>
      </c>
      <c r="BD24" s="77">
        <f>L24</f>
        <v>130.04264910000001</v>
      </c>
      <c r="BF24" s="77">
        <f>F24*AM24</f>
        <v>0</v>
      </c>
      <c r="BG24" s="77">
        <f>F24*AN24</f>
        <v>0</v>
      </c>
      <c r="BH24" s="77">
        <f>F24*G24</f>
        <v>0</v>
      </c>
      <c r="BI24" s="77"/>
      <c r="BJ24" s="77">
        <v>11</v>
      </c>
      <c r="BU24" s="77" t="e">
        <f>#REF!</f>
        <v>#REF!</v>
      </c>
      <c r="BV24" s="70" t="s">
        <v>165</v>
      </c>
    </row>
    <row r="25" spans="1:74" ht="162" customHeight="1" x14ac:dyDescent="0.25">
      <c r="A25" s="104"/>
      <c r="B25" s="81" t="s">
        <v>138</v>
      </c>
      <c r="C25" s="303" t="s">
        <v>167</v>
      </c>
      <c r="D25" s="304"/>
      <c r="E25" s="304"/>
      <c r="F25" s="304"/>
      <c r="G25" s="304"/>
      <c r="H25" s="304"/>
      <c r="I25" s="304"/>
      <c r="J25" s="304"/>
      <c r="K25" s="304"/>
      <c r="L25" s="304"/>
      <c r="M25" s="305"/>
    </row>
    <row r="26" spans="1:74" x14ac:dyDescent="0.25">
      <c r="A26" s="92" t="s">
        <v>168</v>
      </c>
      <c r="B26" s="69" t="s">
        <v>169</v>
      </c>
      <c r="C26" s="306" t="s">
        <v>170</v>
      </c>
      <c r="D26" s="307"/>
      <c r="E26" s="69" t="s">
        <v>166</v>
      </c>
      <c r="F26" s="77">
        <v>137.53</v>
      </c>
      <c r="G26" s="218">
        <v>0</v>
      </c>
      <c r="H26" s="77">
        <f>F26*AM26</f>
        <v>0</v>
      </c>
      <c r="I26" s="77">
        <f>F26*AN26</f>
        <v>0</v>
      </c>
      <c r="J26" s="77">
        <f>F26*G26</f>
        <v>0</v>
      </c>
      <c r="K26" s="77">
        <v>0.33</v>
      </c>
      <c r="L26" s="77">
        <f>F26*K26</f>
        <v>45.384900000000002</v>
      </c>
      <c r="M26" s="103" t="s">
        <v>35</v>
      </c>
      <c r="X26" s="77">
        <f>IF(AO26="5",BH26,0)</f>
        <v>0</v>
      </c>
      <c r="Z26" s="77">
        <f>IF(AO26="1",BF26,0)</f>
        <v>0</v>
      </c>
      <c r="AA26" s="77">
        <f>IF(AO26="1",BG26,0)</f>
        <v>0</v>
      </c>
      <c r="AB26" s="77">
        <f>IF(AO26="7",BF26,0)</f>
        <v>0</v>
      </c>
      <c r="AC26" s="77">
        <f>IF(AO26="7",BG26,0)</f>
        <v>0</v>
      </c>
      <c r="AD26" s="77">
        <f>IF(AO26="2",BF26,0)</f>
        <v>0</v>
      </c>
      <c r="AE26" s="77">
        <f>IF(AO26="2",BG26,0)</f>
        <v>0</v>
      </c>
      <c r="AF26" s="77">
        <f>IF(AO26="0",BH26,0)</f>
        <v>0</v>
      </c>
      <c r="AG26" s="71" t="s">
        <v>129</v>
      </c>
      <c r="AH26" s="77">
        <f>IF(AL26=0,J26,0)</f>
        <v>0</v>
      </c>
      <c r="AI26" s="77">
        <f>IF(AL26=15,J26,0)</f>
        <v>0</v>
      </c>
      <c r="AJ26" s="77">
        <f>IF(AL26=21,J26,0)</f>
        <v>0</v>
      </c>
      <c r="AL26" s="77">
        <v>15</v>
      </c>
      <c r="AM26" s="77">
        <f>G26*0</f>
        <v>0</v>
      </c>
      <c r="AN26" s="77">
        <f>G26*(1-0)</f>
        <v>0</v>
      </c>
      <c r="AO26" s="79" t="s">
        <v>132</v>
      </c>
      <c r="AT26" s="77">
        <f>AU26+AV26</f>
        <v>0</v>
      </c>
      <c r="AU26" s="77">
        <f>F26*AM26</f>
        <v>0</v>
      </c>
      <c r="AV26" s="77">
        <f>F26*AN26</f>
        <v>0</v>
      </c>
      <c r="AW26" s="79" t="s">
        <v>146</v>
      </c>
      <c r="AX26" s="79" t="s">
        <v>147</v>
      </c>
      <c r="AY26" s="71" t="s">
        <v>137</v>
      </c>
      <c r="BA26" s="77">
        <f>AU26+AV26</f>
        <v>0</v>
      </c>
      <c r="BB26" s="77">
        <f>G26/(100-BC26)*100</f>
        <v>0</v>
      </c>
      <c r="BC26" s="77">
        <v>0</v>
      </c>
      <c r="BD26" s="77">
        <f>L26</f>
        <v>45.384900000000002</v>
      </c>
      <c r="BF26" s="77">
        <f>F26*AM26</f>
        <v>0</v>
      </c>
      <c r="BG26" s="77">
        <f>F26*AN26</f>
        <v>0</v>
      </c>
      <c r="BH26" s="77">
        <f>F26*G26</f>
        <v>0</v>
      </c>
      <c r="BI26" s="77"/>
      <c r="BJ26" s="77">
        <v>11</v>
      </c>
      <c r="BU26" s="77" t="e">
        <f>#REF!</f>
        <v>#REF!</v>
      </c>
      <c r="BV26" s="70" t="s">
        <v>170</v>
      </c>
    </row>
    <row r="27" spans="1:74" ht="67.5" customHeight="1" x14ac:dyDescent="0.25">
      <c r="A27" s="104"/>
      <c r="B27" s="81" t="s">
        <v>138</v>
      </c>
      <c r="C27" s="303" t="s">
        <v>171</v>
      </c>
      <c r="D27" s="304"/>
      <c r="E27" s="304"/>
      <c r="F27" s="304"/>
      <c r="G27" s="304"/>
      <c r="H27" s="304"/>
      <c r="I27" s="304"/>
      <c r="J27" s="304"/>
      <c r="K27" s="304"/>
      <c r="L27" s="304"/>
      <c r="M27" s="305"/>
    </row>
    <row r="28" spans="1:74" x14ac:dyDescent="0.25">
      <c r="A28" s="105" t="s">
        <v>129</v>
      </c>
      <c r="B28" s="74" t="s">
        <v>172</v>
      </c>
      <c r="C28" s="314" t="s">
        <v>173</v>
      </c>
      <c r="D28" s="315"/>
      <c r="E28" s="75" t="s">
        <v>87</v>
      </c>
      <c r="F28" s="75" t="s">
        <v>87</v>
      </c>
      <c r="G28" s="75" t="s">
        <v>87</v>
      </c>
      <c r="H28" s="67">
        <f>SUM(H29:H29)</f>
        <v>0</v>
      </c>
      <c r="I28" s="67">
        <f>SUM(I29:I29)</f>
        <v>0</v>
      </c>
      <c r="J28" s="67">
        <f>SUM(J29:J29)</f>
        <v>0</v>
      </c>
      <c r="K28" s="71" t="s">
        <v>129</v>
      </c>
      <c r="L28" s="67">
        <f>SUM(L29:L29)</f>
        <v>0</v>
      </c>
      <c r="M28" s="106" t="s">
        <v>129</v>
      </c>
      <c r="AG28" s="71" t="s">
        <v>129</v>
      </c>
      <c r="AQ28" s="67">
        <f>SUM(AH29:AH29)</f>
        <v>0</v>
      </c>
      <c r="AR28" s="67">
        <f>SUM(AI29:AI29)</f>
        <v>0</v>
      </c>
      <c r="AS28" s="67">
        <f>SUM(AJ29:AJ29)</f>
        <v>0</v>
      </c>
    </row>
    <row r="29" spans="1:74" x14ac:dyDescent="0.25">
      <c r="A29" s="92" t="s">
        <v>174</v>
      </c>
      <c r="B29" s="69" t="s">
        <v>175</v>
      </c>
      <c r="C29" s="306" t="s">
        <v>176</v>
      </c>
      <c r="D29" s="307"/>
      <c r="E29" s="69" t="s">
        <v>177</v>
      </c>
      <c r="F29" s="77">
        <v>2</v>
      </c>
      <c r="G29" s="218">
        <v>0</v>
      </c>
      <c r="H29" s="77">
        <f>F29*AM29</f>
        <v>0</v>
      </c>
      <c r="I29" s="77">
        <f>F29*AN29</f>
        <v>0</v>
      </c>
      <c r="J29" s="77">
        <f>F29*G29</f>
        <v>0</v>
      </c>
      <c r="K29" s="77">
        <v>0</v>
      </c>
      <c r="L29" s="77">
        <f>F29*K29</f>
        <v>0</v>
      </c>
      <c r="M29" s="103" t="s">
        <v>35</v>
      </c>
      <c r="X29" s="77">
        <f>IF(AO29="5",BH29,0)</f>
        <v>0</v>
      </c>
      <c r="Z29" s="77">
        <f>IF(AO29="1",BF29,0)</f>
        <v>0</v>
      </c>
      <c r="AA29" s="77">
        <f>IF(AO29="1",BG29,0)</f>
        <v>0</v>
      </c>
      <c r="AB29" s="77">
        <f>IF(AO29="7",BF29,0)</f>
        <v>0</v>
      </c>
      <c r="AC29" s="77">
        <f>IF(AO29="7",BG29,0)</f>
        <v>0</v>
      </c>
      <c r="AD29" s="77">
        <f>IF(AO29="2",BF29,0)</f>
        <v>0</v>
      </c>
      <c r="AE29" s="77">
        <f>IF(AO29="2",BG29,0)</f>
        <v>0</v>
      </c>
      <c r="AF29" s="77">
        <f>IF(AO29="0",BH29,0)</f>
        <v>0</v>
      </c>
      <c r="AG29" s="71" t="s">
        <v>129</v>
      </c>
      <c r="AH29" s="77">
        <f>IF(AL29=0,J29,0)</f>
        <v>0</v>
      </c>
      <c r="AI29" s="77">
        <f>IF(AL29=15,J29,0)</f>
        <v>0</v>
      </c>
      <c r="AJ29" s="77">
        <f>IF(AL29=21,J29,0)</f>
        <v>0</v>
      </c>
      <c r="AL29" s="77">
        <v>15</v>
      </c>
      <c r="AM29" s="77">
        <f>G29*0</f>
        <v>0</v>
      </c>
      <c r="AN29" s="77">
        <f>G29*(1-0)</f>
        <v>0</v>
      </c>
      <c r="AO29" s="79" t="s">
        <v>132</v>
      </c>
      <c r="AT29" s="77">
        <f>AU29+AV29</f>
        <v>0</v>
      </c>
      <c r="AU29" s="77">
        <f>F29*AM29</f>
        <v>0</v>
      </c>
      <c r="AV29" s="77">
        <f>F29*AN29</f>
        <v>0</v>
      </c>
      <c r="AW29" s="79" t="s">
        <v>178</v>
      </c>
      <c r="AX29" s="79" t="s">
        <v>147</v>
      </c>
      <c r="AY29" s="71" t="s">
        <v>137</v>
      </c>
      <c r="BA29" s="77">
        <f>AU29+AV29</f>
        <v>0</v>
      </c>
      <c r="BB29" s="77">
        <f>G29/(100-BC29)*100</f>
        <v>0</v>
      </c>
      <c r="BC29" s="77">
        <v>0</v>
      </c>
      <c r="BD29" s="77">
        <f>L29</f>
        <v>0</v>
      </c>
      <c r="BF29" s="77">
        <f>F29*AM29</f>
        <v>0</v>
      </c>
      <c r="BG29" s="77">
        <f>F29*AN29</f>
        <v>0</v>
      </c>
      <c r="BH29" s="77">
        <f>F29*G29</f>
        <v>0</v>
      </c>
      <c r="BI29" s="77"/>
      <c r="BJ29" s="77">
        <v>12</v>
      </c>
      <c r="BU29" s="77" t="e">
        <f>#REF!</f>
        <v>#REF!</v>
      </c>
      <c r="BV29" s="70" t="s">
        <v>176</v>
      </c>
    </row>
    <row r="30" spans="1:74" ht="13.5" customHeight="1" x14ac:dyDescent="0.25">
      <c r="A30" s="104"/>
      <c r="B30" s="81" t="s">
        <v>138</v>
      </c>
      <c r="C30" s="303" t="s">
        <v>179</v>
      </c>
      <c r="D30" s="304"/>
      <c r="E30" s="304"/>
      <c r="F30" s="304"/>
      <c r="G30" s="304"/>
      <c r="H30" s="304"/>
      <c r="I30" s="304"/>
      <c r="J30" s="304"/>
      <c r="K30" s="304"/>
      <c r="L30" s="304"/>
      <c r="M30" s="305"/>
    </row>
    <row r="31" spans="1:74" x14ac:dyDescent="0.25">
      <c r="A31" s="105" t="s">
        <v>129</v>
      </c>
      <c r="B31" s="74" t="s">
        <v>180</v>
      </c>
      <c r="C31" s="314" t="s">
        <v>181</v>
      </c>
      <c r="D31" s="315"/>
      <c r="E31" s="75" t="s">
        <v>87</v>
      </c>
      <c r="F31" s="75" t="s">
        <v>87</v>
      </c>
      <c r="G31" s="75" t="s">
        <v>87</v>
      </c>
      <c r="H31" s="67">
        <f>SUM(H32:H44)</f>
        <v>0</v>
      </c>
      <c r="I31" s="67">
        <f>SUM(I32:I44)</f>
        <v>0</v>
      </c>
      <c r="J31" s="67">
        <f>SUM(J32:J44)</f>
        <v>0</v>
      </c>
      <c r="K31" s="71" t="s">
        <v>129</v>
      </c>
      <c r="L31" s="67">
        <f>SUM(L32:L44)</f>
        <v>0</v>
      </c>
      <c r="M31" s="106" t="s">
        <v>129</v>
      </c>
      <c r="AG31" s="71" t="s">
        <v>129</v>
      </c>
      <c r="AQ31" s="67">
        <f>SUM(AH32:AH44)</f>
        <v>0</v>
      </c>
      <c r="AR31" s="67">
        <f>SUM(AI32:AI44)</f>
        <v>0</v>
      </c>
      <c r="AS31" s="67">
        <f>SUM(AJ32:AJ44)</f>
        <v>0</v>
      </c>
    </row>
    <row r="32" spans="1:74" x14ac:dyDescent="0.25">
      <c r="A32" s="92" t="s">
        <v>182</v>
      </c>
      <c r="B32" s="69" t="s">
        <v>183</v>
      </c>
      <c r="C32" s="306" t="s">
        <v>184</v>
      </c>
      <c r="D32" s="307"/>
      <c r="E32" s="69" t="s">
        <v>177</v>
      </c>
      <c r="F32" s="77">
        <v>89.32</v>
      </c>
      <c r="G32" s="218">
        <v>0</v>
      </c>
      <c r="H32" s="77">
        <f>F32*AM32</f>
        <v>0</v>
      </c>
      <c r="I32" s="77">
        <f>F32*AN32</f>
        <v>0</v>
      </c>
      <c r="J32" s="77">
        <f>F32*G32</f>
        <v>0</v>
      </c>
      <c r="K32" s="77">
        <v>0</v>
      </c>
      <c r="L32" s="77">
        <f>F32*K32</f>
        <v>0</v>
      </c>
      <c r="M32" s="103" t="s">
        <v>35</v>
      </c>
      <c r="X32" s="77">
        <f>IF(AO32="5",BH32,0)</f>
        <v>0</v>
      </c>
      <c r="Z32" s="77">
        <f>IF(AO32="1",BF32,0)</f>
        <v>0</v>
      </c>
      <c r="AA32" s="77">
        <f>IF(AO32="1",BG32,0)</f>
        <v>0</v>
      </c>
      <c r="AB32" s="77">
        <f>IF(AO32="7",BF32,0)</f>
        <v>0</v>
      </c>
      <c r="AC32" s="77">
        <f>IF(AO32="7",BG32,0)</f>
        <v>0</v>
      </c>
      <c r="AD32" s="77">
        <f>IF(AO32="2",BF32,0)</f>
        <v>0</v>
      </c>
      <c r="AE32" s="77">
        <f>IF(AO32="2",BG32,0)</f>
        <v>0</v>
      </c>
      <c r="AF32" s="77">
        <f>IF(AO32="0",BH32,0)</f>
        <v>0</v>
      </c>
      <c r="AG32" s="71" t="s">
        <v>129</v>
      </c>
      <c r="AH32" s="77">
        <f>IF(AL32=0,J32,0)</f>
        <v>0</v>
      </c>
      <c r="AI32" s="77">
        <f>IF(AL32=15,J32,0)</f>
        <v>0</v>
      </c>
      <c r="AJ32" s="77">
        <f>IF(AL32=21,J32,0)</f>
        <v>0</v>
      </c>
      <c r="AL32" s="77">
        <v>15</v>
      </c>
      <c r="AM32" s="77">
        <f>G32*0</f>
        <v>0</v>
      </c>
      <c r="AN32" s="77">
        <f>G32*(1-0)</f>
        <v>0</v>
      </c>
      <c r="AO32" s="79" t="s">
        <v>132</v>
      </c>
      <c r="AT32" s="77">
        <f>AU32+AV32</f>
        <v>0</v>
      </c>
      <c r="AU32" s="77">
        <f>F32*AM32</f>
        <v>0</v>
      </c>
      <c r="AV32" s="77">
        <f>F32*AN32</f>
        <v>0</v>
      </c>
      <c r="AW32" s="79" t="s">
        <v>185</v>
      </c>
      <c r="AX32" s="79" t="s">
        <v>147</v>
      </c>
      <c r="AY32" s="71" t="s">
        <v>137</v>
      </c>
      <c r="BA32" s="77">
        <f>AU32+AV32</f>
        <v>0</v>
      </c>
      <c r="BB32" s="77">
        <f>G32/(100-BC32)*100</f>
        <v>0</v>
      </c>
      <c r="BC32" s="77">
        <v>0</v>
      </c>
      <c r="BD32" s="77">
        <f>L32</f>
        <v>0</v>
      </c>
      <c r="BF32" s="77">
        <f>F32*AM32</f>
        <v>0</v>
      </c>
      <c r="BG32" s="77">
        <f>F32*AN32</f>
        <v>0</v>
      </c>
      <c r="BH32" s="77">
        <f>F32*G32</f>
        <v>0</v>
      </c>
      <c r="BI32" s="77"/>
      <c r="BJ32" s="77">
        <v>13</v>
      </c>
      <c r="BU32" s="77" t="e">
        <f>#REF!</f>
        <v>#REF!</v>
      </c>
      <c r="BV32" s="70" t="s">
        <v>184</v>
      </c>
    </row>
    <row r="33" spans="1:74" ht="67.5" customHeight="1" thickBot="1" x14ac:dyDescent="0.3">
      <c r="A33" s="107"/>
      <c r="B33" s="108" t="s">
        <v>138</v>
      </c>
      <c r="C33" s="308" t="s">
        <v>186</v>
      </c>
      <c r="D33" s="309"/>
      <c r="E33" s="309"/>
      <c r="F33" s="309"/>
      <c r="G33" s="309"/>
      <c r="H33" s="309"/>
      <c r="I33" s="309"/>
      <c r="J33" s="309"/>
      <c r="K33" s="309"/>
      <c r="L33" s="309"/>
      <c r="M33" s="310"/>
    </row>
    <row r="34" spans="1:74" x14ac:dyDescent="0.25">
      <c r="A34" s="122" t="s">
        <v>187</v>
      </c>
      <c r="B34" s="109" t="s">
        <v>188</v>
      </c>
      <c r="C34" s="312" t="s">
        <v>189</v>
      </c>
      <c r="D34" s="313"/>
      <c r="E34" s="109" t="s">
        <v>177</v>
      </c>
      <c r="F34" s="123">
        <v>44.66</v>
      </c>
      <c r="G34" s="219">
        <v>0</v>
      </c>
      <c r="H34" s="123">
        <f>F34*AM34</f>
        <v>0</v>
      </c>
      <c r="I34" s="123">
        <f>F34*AN34</f>
        <v>0</v>
      </c>
      <c r="J34" s="123">
        <f>F34*G34</f>
        <v>0</v>
      </c>
      <c r="K34" s="123">
        <v>0</v>
      </c>
      <c r="L34" s="123">
        <f>F34*K34</f>
        <v>0</v>
      </c>
      <c r="M34" s="124" t="s">
        <v>35</v>
      </c>
      <c r="X34" s="77">
        <f>IF(AO34="5",BH34,0)</f>
        <v>0</v>
      </c>
      <c r="Z34" s="77">
        <f>IF(AO34="1",BF34,0)</f>
        <v>0</v>
      </c>
      <c r="AA34" s="77">
        <f>IF(AO34="1",BG34,0)</f>
        <v>0</v>
      </c>
      <c r="AB34" s="77">
        <f>IF(AO34="7",BF34,0)</f>
        <v>0</v>
      </c>
      <c r="AC34" s="77">
        <f>IF(AO34="7",BG34,0)</f>
        <v>0</v>
      </c>
      <c r="AD34" s="77">
        <f>IF(AO34="2",BF34,0)</f>
        <v>0</v>
      </c>
      <c r="AE34" s="77">
        <f>IF(AO34="2",BG34,0)</f>
        <v>0</v>
      </c>
      <c r="AF34" s="77">
        <f>IF(AO34="0",BH34,0)</f>
        <v>0</v>
      </c>
      <c r="AG34" s="71" t="s">
        <v>129</v>
      </c>
      <c r="AH34" s="77">
        <f>IF(AL34=0,J34,0)</f>
        <v>0</v>
      </c>
      <c r="AI34" s="77">
        <f>IF(AL34=15,J34,0)</f>
        <v>0</v>
      </c>
      <c r="AJ34" s="77">
        <f>IF(AL34=21,J34,0)</f>
        <v>0</v>
      </c>
      <c r="AL34" s="77">
        <v>15</v>
      </c>
      <c r="AM34" s="77">
        <f>G34*0</f>
        <v>0</v>
      </c>
      <c r="AN34" s="77">
        <f>G34*(1-0)</f>
        <v>0</v>
      </c>
      <c r="AO34" s="79" t="s">
        <v>132</v>
      </c>
      <c r="AT34" s="77">
        <f>AU34+AV34</f>
        <v>0</v>
      </c>
      <c r="AU34" s="77">
        <f>F34*AM34</f>
        <v>0</v>
      </c>
      <c r="AV34" s="77">
        <f>F34*AN34</f>
        <v>0</v>
      </c>
      <c r="AW34" s="79" t="s">
        <v>185</v>
      </c>
      <c r="AX34" s="79" t="s">
        <v>147</v>
      </c>
      <c r="AY34" s="71" t="s">
        <v>137</v>
      </c>
      <c r="BA34" s="77">
        <f>AU34+AV34</f>
        <v>0</v>
      </c>
      <c r="BB34" s="77">
        <f>G34/(100-BC34)*100</f>
        <v>0</v>
      </c>
      <c r="BC34" s="77">
        <v>0</v>
      </c>
      <c r="BD34" s="77">
        <f>L34</f>
        <v>0</v>
      </c>
      <c r="BF34" s="77">
        <f>F34*AM34</f>
        <v>0</v>
      </c>
      <c r="BG34" s="77">
        <f>F34*AN34</f>
        <v>0</v>
      </c>
      <c r="BH34" s="77">
        <f>F34*G34</f>
        <v>0</v>
      </c>
      <c r="BI34" s="77"/>
      <c r="BJ34" s="77">
        <v>13</v>
      </c>
      <c r="BU34" s="77" t="e">
        <f>#REF!</f>
        <v>#REF!</v>
      </c>
      <c r="BV34" s="70" t="s">
        <v>189</v>
      </c>
    </row>
    <row r="35" spans="1:74" ht="40.5" customHeight="1" x14ac:dyDescent="0.25">
      <c r="A35" s="104"/>
      <c r="B35" s="81" t="s">
        <v>138</v>
      </c>
      <c r="C35" s="303" t="s">
        <v>190</v>
      </c>
      <c r="D35" s="304"/>
      <c r="E35" s="304"/>
      <c r="F35" s="304"/>
      <c r="G35" s="304"/>
      <c r="H35" s="304"/>
      <c r="I35" s="304"/>
      <c r="J35" s="304"/>
      <c r="K35" s="304"/>
      <c r="L35" s="304"/>
      <c r="M35" s="305"/>
    </row>
    <row r="36" spans="1:74" x14ac:dyDescent="0.25">
      <c r="A36" s="92" t="s">
        <v>140</v>
      </c>
      <c r="B36" s="69" t="s">
        <v>191</v>
      </c>
      <c r="C36" s="306" t="s">
        <v>192</v>
      </c>
      <c r="D36" s="307"/>
      <c r="E36" s="69" t="s">
        <v>177</v>
      </c>
      <c r="F36" s="77">
        <v>89.32</v>
      </c>
      <c r="G36" s="218">
        <v>0</v>
      </c>
      <c r="H36" s="77">
        <f>F36*AM36</f>
        <v>0</v>
      </c>
      <c r="I36" s="77">
        <f>F36*AN36</f>
        <v>0</v>
      </c>
      <c r="J36" s="77">
        <f>F36*G36</f>
        <v>0</v>
      </c>
      <c r="K36" s="77">
        <v>0</v>
      </c>
      <c r="L36" s="77">
        <f>F36*K36</f>
        <v>0</v>
      </c>
      <c r="M36" s="103" t="s">
        <v>35</v>
      </c>
      <c r="X36" s="77">
        <f>IF(AO36="5",BH36,0)</f>
        <v>0</v>
      </c>
      <c r="Z36" s="77">
        <f>IF(AO36="1",BF36,0)</f>
        <v>0</v>
      </c>
      <c r="AA36" s="77">
        <f>IF(AO36="1",BG36,0)</f>
        <v>0</v>
      </c>
      <c r="AB36" s="77">
        <f>IF(AO36="7",BF36,0)</f>
        <v>0</v>
      </c>
      <c r="AC36" s="77">
        <f>IF(AO36="7",BG36,0)</f>
        <v>0</v>
      </c>
      <c r="AD36" s="77">
        <f>IF(AO36="2",BF36,0)</f>
        <v>0</v>
      </c>
      <c r="AE36" s="77">
        <f>IF(AO36="2",BG36,0)</f>
        <v>0</v>
      </c>
      <c r="AF36" s="77">
        <f>IF(AO36="0",BH36,0)</f>
        <v>0</v>
      </c>
      <c r="AG36" s="71" t="s">
        <v>129</v>
      </c>
      <c r="AH36" s="77">
        <f>IF(AL36=0,J36,0)</f>
        <v>0</v>
      </c>
      <c r="AI36" s="77">
        <f>IF(AL36=15,J36,0)</f>
        <v>0</v>
      </c>
      <c r="AJ36" s="77">
        <f>IF(AL36=21,J36,0)</f>
        <v>0</v>
      </c>
      <c r="AL36" s="77">
        <v>15</v>
      </c>
      <c r="AM36" s="77">
        <f>G36*0</f>
        <v>0</v>
      </c>
      <c r="AN36" s="77">
        <f>G36*(1-0)</f>
        <v>0</v>
      </c>
      <c r="AO36" s="79" t="s">
        <v>132</v>
      </c>
      <c r="AT36" s="77">
        <f>AU36+AV36</f>
        <v>0</v>
      </c>
      <c r="AU36" s="77">
        <f>F36*AM36</f>
        <v>0</v>
      </c>
      <c r="AV36" s="77">
        <f>F36*AN36</f>
        <v>0</v>
      </c>
      <c r="AW36" s="79" t="s">
        <v>185</v>
      </c>
      <c r="AX36" s="79" t="s">
        <v>147</v>
      </c>
      <c r="AY36" s="71" t="s">
        <v>137</v>
      </c>
      <c r="BA36" s="77">
        <f>AU36+AV36</f>
        <v>0</v>
      </c>
      <c r="BB36" s="77">
        <f>G36/(100-BC36)*100</f>
        <v>0</v>
      </c>
      <c r="BC36" s="77">
        <v>0</v>
      </c>
      <c r="BD36" s="77">
        <f>L36</f>
        <v>0</v>
      </c>
      <c r="BF36" s="77">
        <f>F36*AM36</f>
        <v>0</v>
      </c>
      <c r="BG36" s="77">
        <f>F36*AN36</f>
        <v>0</v>
      </c>
      <c r="BH36" s="77">
        <f>F36*G36</f>
        <v>0</v>
      </c>
      <c r="BI36" s="77"/>
      <c r="BJ36" s="77">
        <v>13</v>
      </c>
      <c r="BU36" s="77" t="e">
        <f>#REF!</f>
        <v>#REF!</v>
      </c>
      <c r="BV36" s="70" t="s">
        <v>192</v>
      </c>
    </row>
    <row r="37" spans="1:74" ht="67.5" customHeight="1" x14ac:dyDescent="0.25">
      <c r="A37" s="104"/>
      <c r="B37" s="81" t="s">
        <v>138</v>
      </c>
      <c r="C37" s="303" t="s">
        <v>193</v>
      </c>
      <c r="D37" s="304"/>
      <c r="E37" s="304"/>
      <c r="F37" s="304"/>
      <c r="G37" s="304"/>
      <c r="H37" s="304"/>
      <c r="I37" s="304"/>
      <c r="J37" s="304"/>
      <c r="K37" s="304"/>
      <c r="L37" s="304"/>
      <c r="M37" s="305"/>
    </row>
    <row r="38" spans="1:74" x14ac:dyDescent="0.25">
      <c r="A38" s="92" t="s">
        <v>172</v>
      </c>
      <c r="B38" s="69" t="s">
        <v>194</v>
      </c>
      <c r="C38" s="306" t="s">
        <v>195</v>
      </c>
      <c r="D38" s="307"/>
      <c r="E38" s="69" t="s">
        <v>177</v>
      </c>
      <c r="F38" s="77">
        <v>22.33</v>
      </c>
      <c r="G38" s="218">
        <v>0</v>
      </c>
      <c r="H38" s="77">
        <f>F38*AM38</f>
        <v>0</v>
      </c>
      <c r="I38" s="77">
        <f>F38*AN38</f>
        <v>0</v>
      </c>
      <c r="J38" s="77">
        <f>F38*G38</f>
        <v>0</v>
      </c>
      <c r="K38" s="77">
        <v>0</v>
      </c>
      <c r="L38" s="77">
        <f>F38*K38</f>
        <v>0</v>
      </c>
      <c r="M38" s="103" t="s">
        <v>35</v>
      </c>
      <c r="X38" s="77">
        <f>IF(AO38="5",BH38,0)</f>
        <v>0</v>
      </c>
      <c r="Z38" s="77">
        <f>IF(AO38="1",BF38,0)</f>
        <v>0</v>
      </c>
      <c r="AA38" s="77">
        <f>IF(AO38="1",BG38,0)</f>
        <v>0</v>
      </c>
      <c r="AB38" s="77">
        <f>IF(AO38="7",BF38,0)</f>
        <v>0</v>
      </c>
      <c r="AC38" s="77">
        <f>IF(AO38="7",BG38,0)</f>
        <v>0</v>
      </c>
      <c r="AD38" s="77">
        <f>IF(AO38="2",BF38,0)</f>
        <v>0</v>
      </c>
      <c r="AE38" s="77">
        <f>IF(AO38="2",BG38,0)</f>
        <v>0</v>
      </c>
      <c r="AF38" s="77">
        <f>IF(AO38="0",BH38,0)</f>
        <v>0</v>
      </c>
      <c r="AG38" s="71" t="s">
        <v>129</v>
      </c>
      <c r="AH38" s="77">
        <f>IF(AL38=0,J38,0)</f>
        <v>0</v>
      </c>
      <c r="AI38" s="77">
        <f>IF(AL38=15,J38,0)</f>
        <v>0</v>
      </c>
      <c r="AJ38" s="77">
        <f>IF(AL38=21,J38,0)</f>
        <v>0</v>
      </c>
      <c r="AL38" s="77">
        <v>15</v>
      </c>
      <c r="AM38" s="77">
        <f>G38*0</f>
        <v>0</v>
      </c>
      <c r="AN38" s="77">
        <f>G38*(1-0)</f>
        <v>0</v>
      </c>
      <c r="AO38" s="79" t="s">
        <v>132</v>
      </c>
      <c r="AT38" s="77">
        <f>AU38+AV38</f>
        <v>0</v>
      </c>
      <c r="AU38" s="77">
        <f>F38*AM38</f>
        <v>0</v>
      </c>
      <c r="AV38" s="77">
        <f>F38*AN38</f>
        <v>0</v>
      </c>
      <c r="AW38" s="79" t="s">
        <v>185</v>
      </c>
      <c r="AX38" s="79" t="s">
        <v>147</v>
      </c>
      <c r="AY38" s="71" t="s">
        <v>137</v>
      </c>
      <c r="BA38" s="77">
        <f>AU38+AV38</f>
        <v>0</v>
      </c>
      <c r="BB38" s="77">
        <f>G38/(100-BC38)*100</f>
        <v>0</v>
      </c>
      <c r="BC38" s="77">
        <v>0</v>
      </c>
      <c r="BD38" s="77">
        <f>L38</f>
        <v>0</v>
      </c>
      <c r="BF38" s="77">
        <f>F38*AM38</f>
        <v>0</v>
      </c>
      <c r="BG38" s="77">
        <f>F38*AN38</f>
        <v>0</v>
      </c>
      <c r="BH38" s="77">
        <f>F38*G38</f>
        <v>0</v>
      </c>
      <c r="BI38" s="77"/>
      <c r="BJ38" s="77">
        <v>13</v>
      </c>
      <c r="BU38" s="77" t="e">
        <f>#REF!</f>
        <v>#REF!</v>
      </c>
      <c r="BV38" s="70" t="s">
        <v>195</v>
      </c>
    </row>
    <row r="39" spans="1:74" ht="40.5" customHeight="1" x14ac:dyDescent="0.25">
      <c r="A39" s="104"/>
      <c r="B39" s="81" t="s">
        <v>138</v>
      </c>
      <c r="C39" s="303" t="s">
        <v>196</v>
      </c>
      <c r="D39" s="304"/>
      <c r="E39" s="304"/>
      <c r="F39" s="304"/>
      <c r="G39" s="304"/>
      <c r="H39" s="304"/>
      <c r="I39" s="304"/>
      <c r="J39" s="304"/>
      <c r="K39" s="304"/>
      <c r="L39" s="304"/>
      <c r="M39" s="305"/>
    </row>
    <row r="40" spans="1:74" x14ac:dyDescent="0.25">
      <c r="A40" s="92" t="s">
        <v>180</v>
      </c>
      <c r="B40" s="69" t="s">
        <v>197</v>
      </c>
      <c r="C40" s="306" t="s">
        <v>198</v>
      </c>
      <c r="D40" s="307"/>
      <c r="E40" s="69" t="s">
        <v>177</v>
      </c>
      <c r="F40" s="77">
        <v>10</v>
      </c>
      <c r="G40" s="218">
        <v>0</v>
      </c>
      <c r="H40" s="77">
        <f>F40*AM40</f>
        <v>0</v>
      </c>
      <c r="I40" s="77">
        <f>F40*AN40</f>
        <v>0</v>
      </c>
      <c r="J40" s="77">
        <f>F40*G40</f>
        <v>0</v>
      </c>
      <c r="K40" s="77">
        <v>0</v>
      </c>
      <c r="L40" s="77">
        <f>F40*K40</f>
        <v>0</v>
      </c>
      <c r="M40" s="103" t="s">
        <v>35</v>
      </c>
      <c r="X40" s="77">
        <f>IF(AO40="5",BH40,0)</f>
        <v>0</v>
      </c>
      <c r="Z40" s="77">
        <f>IF(AO40="1",BF40,0)</f>
        <v>0</v>
      </c>
      <c r="AA40" s="77">
        <f>IF(AO40="1",BG40,0)</f>
        <v>0</v>
      </c>
      <c r="AB40" s="77">
        <f>IF(AO40="7",BF40,0)</f>
        <v>0</v>
      </c>
      <c r="AC40" s="77">
        <f>IF(AO40="7",BG40,0)</f>
        <v>0</v>
      </c>
      <c r="AD40" s="77">
        <f>IF(AO40="2",BF40,0)</f>
        <v>0</v>
      </c>
      <c r="AE40" s="77">
        <f>IF(AO40="2",BG40,0)</f>
        <v>0</v>
      </c>
      <c r="AF40" s="77">
        <f>IF(AO40="0",BH40,0)</f>
        <v>0</v>
      </c>
      <c r="AG40" s="71" t="s">
        <v>129</v>
      </c>
      <c r="AH40" s="77">
        <f>IF(AL40=0,J40,0)</f>
        <v>0</v>
      </c>
      <c r="AI40" s="77">
        <f>IF(AL40=15,J40,0)</f>
        <v>0</v>
      </c>
      <c r="AJ40" s="77">
        <f>IF(AL40=21,J40,0)</f>
        <v>0</v>
      </c>
      <c r="AL40" s="77">
        <v>15</v>
      </c>
      <c r="AM40" s="77">
        <f>G40*0</f>
        <v>0</v>
      </c>
      <c r="AN40" s="77">
        <f>G40*(1-0)</f>
        <v>0</v>
      </c>
      <c r="AO40" s="79" t="s">
        <v>132</v>
      </c>
      <c r="AT40" s="77">
        <f>AU40+AV40</f>
        <v>0</v>
      </c>
      <c r="AU40" s="77">
        <f>F40*AM40</f>
        <v>0</v>
      </c>
      <c r="AV40" s="77">
        <f>F40*AN40</f>
        <v>0</v>
      </c>
      <c r="AW40" s="79" t="s">
        <v>185</v>
      </c>
      <c r="AX40" s="79" t="s">
        <v>147</v>
      </c>
      <c r="AY40" s="71" t="s">
        <v>137</v>
      </c>
      <c r="BA40" s="77">
        <f>AU40+AV40</f>
        <v>0</v>
      </c>
      <c r="BB40" s="77">
        <f>G40/(100-BC40)*100</f>
        <v>0</v>
      </c>
      <c r="BC40" s="77">
        <v>0</v>
      </c>
      <c r="BD40" s="77">
        <f>L40</f>
        <v>0</v>
      </c>
      <c r="BF40" s="77">
        <f>F40*AM40</f>
        <v>0</v>
      </c>
      <c r="BG40" s="77">
        <f>F40*AN40</f>
        <v>0</v>
      </c>
      <c r="BH40" s="77">
        <f>F40*G40</f>
        <v>0</v>
      </c>
      <c r="BI40" s="77"/>
      <c r="BJ40" s="77">
        <v>13</v>
      </c>
      <c r="BU40" s="77" t="e">
        <f>#REF!</f>
        <v>#REF!</v>
      </c>
      <c r="BV40" s="70" t="s">
        <v>198</v>
      </c>
    </row>
    <row r="41" spans="1:74" ht="54" customHeight="1" x14ac:dyDescent="0.25">
      <c r="A41" s="104"/>
      <c r="B41" s="81" t="s">
        <v>138</v>
      </c>
      <c r="C41" s="303" t="s">
        <v>199</v>
      </c>
      <c r="D41" s="304"/>
      <c r="E41" s="304"/>
      <c r="F41" s="304"/>
      <c r="G41" s="304"/>
      <c r="H41" s="304"/>
      <c r="I41" s="304"/>
      <c r="J41" s="304"/>
      <c r="K41" s="304"/>
      <c r="L41" s="304"/>
      <c r="M41" s="305"/>
    </row>
    <row r="42" spans="1:74" x14ac:dyDescent="0.25">
      <c r="A42" s="92" t="s">
        <v>200</v>
      </c>
      <c r="B42" s="69" t="s">
        <v>201</v>
      </c>
      <c r="C42" s="306" t="s">
        <v>202</v>
      </c>
      <c r="D42" s="307"/>
      <c r="E42" s="69" t="s">
        <v>177</v>
      </c>
      <c r="F42" s="77">
        <v>7</v>
      </c>
      <c r="G42" s="218">
        <v>0</v>
      </c>
      <c r="H42" s="77">
        <f>F42*AM42</f>
        <v>0</v>
      </c>
      <c r="I42" s="77">
        <f>F42*AN42</f>
        <v>0</v>
      </c>
      <c r="J42" s="77">
        <f>F42*G42</f>
        <v>0</v>
      </c>
      <c r="K42" s="77">
        <v>0</v>
      </c>
      <c r="L42" s="77">
        <f>F42*K42</f>
        <v>0</v>
      </c>
      <c r="M42" s="103" t="s">
        <v>35</v>
      </c>
      <c r="X42" s="77">
        <f>IF(AO42="5",BH42,0)</f>
        <v>0</v>
      </c>
      <c r="Z42" s="77">
        <f>IF(AO42="1",BF42,0)</f>
        <v>0</v>
      </c>
      <c r="AA42" s="77">
        <f>IF(AO42="1",BG42,0)</f>
        <v>0</v>
      </c>
      <c r="AB42" s="77">
        <f>IF(AO42="7",BF42,0)</f>
        <v>0</v>
      </c>
      <c r="AC42" s="77">
        <f>IF(AO42="7",BG42,0)</f>
        <v>0</v>
      </c>
      <c r="AD42" s="77">
        <f>IF(AO42="2",BF42,0)</f>
        <v>0</v>
      </c>
      <c r="AE42" s="77">
        <f>IF(AO42="2",BG42,0)</f>
        <v>0</v>
      </c>
      <c r="AF42" s="77">
        <f>IF(AO42="0",BH42,0)</f>
        <v>0</v>
      </c>
      <c r="AG42" s="71" t="s">
        <v>129</v>
      </c>
      <c r="AH42" s="77">
        <f>IF(AL42=0,J42,0)</f>
        <v>0</v>
      </c>
      <c r="AI42" s="77">
        <f>IF(AL42=15,J42,0)</f>
        <v>0</v>
      </c>
      <c r="AJ42" s="77">
        <f>IF(AL42=21,J42,0)</f>
        <v>0</v>
      </c>
      <c r="AL42" s="77">
        <v>15</v>
      </c>
      <c r="AM42" s="77">
        <f>G42*0</f>
        <v>0</v>
      </c>
      <c r="AN42" s="77">
        <f>G42*(1-0)</f>
        <v>0</v>
      </c>
      <c r="AO42" s="79" t="s">
        <v>132</v>
      </c>
      <c r="AT42" s="77">
        <f>AU42+AV42</f>
        <v>0</v>
      </c>
      <c r="AU42" s="77">
        <f>F42*AM42</f>
        <v>0</v>
      </c>
      <c r="AV42" s="77">
        <f>F42*AN42</f>
        <v>0</v>
      </c>
      <c r="AW42" s="79" t="s">
        <v>185</v>
      </c>
      <c r="AX42" s="79" t="s">
        <v>147</v>
      </c>
      <c r="AY42" s="71" t="s">
        <v>137</v>
      </c>
      <c r="BA42" s="77">
        <f>AU42+AV42</f>
        <v>0</v>
      </c>
      <c r="BB42" s="77">
        <f>G42/(100-BC42)*100</f>
        <v>0</v>
      </c>
      <c r="BC42" s="77">
        <v>0</v>
      </c>
      <c r="BD42" s="77">
        <f>L42</f>
        <v>0</v>
      </c>
      <c r="BF42" s="77">
        <f>F42*AM42</f>
        <v>0</v>
      </c>
      <c r="BG42" s="77">
        <f>F42*AN42</f>
        <v>0</v>
      </c>
      <c r="BH42" s="77">
        <f>F42*G42</f>
        <v>0</v>
      </c>
      <c r="BI42" s="77"/>
      <c r="BJ42" s="77">
        <v>13</v>
      </c>
      <c r="BU42" s="77" t="e">
        <f>#REF!</f>
        <v>#REF!</v>
      </c>
      <c r="BV42" s="70" t="s">
        <v>202</v>
      </c>
    </row>
    <row r="43" spans="1:74" ht="13.5" customHeight="1" x14ac:dyDescent="0.25">
      <c r="A43" s="104"/>
      <c r="B43" s="81" t="s">
        <v>138</v>
      </c>
      <c r="C43" s="303" t="s">
        <v>203</v>
      </c>
      <c r="D43" s="304"/>
      <c r="E43" s="304"/>
      <c r="F43" s="304"/>
      <c r="G43" s="304"/>
      <c r="H43" s="304"/>
      <c r="I43" s="304"/>
      <c r="J43" s="304"/>
      <c r="K43" s="304"/>
      <c r="L43" s="304"/>
      <c r="M43" s="305"/>
    </row>
    <row r="44" spans="1:74" x14ac:dyDescent="0.25">
      <c r="A44" s="92" t="s">
        <v>204</v>
      </c>
      <c r="B44" s="69" t="s">
        <v>205</v>
      </c>
      <c r="C44" s="306" t="s">
        <v>206</v>
      </c>
      <c r="D44" s="307"/>
      <c r="E44" s="69" t="s">
        <v>177</v>
      </c>
      <c r="F44" s="77">
        <v>2.75</v>
      </c>
      <c r="G44" s="218">
        <v>0</v>
      </c>
      <c r="H44" s="77">
        <f>F44*AM44</f>
        <v>0</v>
      </c>
      <c r="I44" s="77">
        <f>F44*AN44</f>
        <v>0</v>
      </c>
      <c r="J44" s="77">
        <f>F44*G44</f>
        <v>0</v>
      </c>
      <c r="K44" s="77">
        <v>0</v>
      </c>
      <c r="L44" s="77">
        <f>F44*K44</f>
        <v>0</v>
      </c>
      <c r="M44" s="103" t="s">
        <v>35</v>
      </c>
      <c r="X44" s="77">
        <f>IF(AO44="5",BH44,0)</f>
        <v>0</v>
      </c>
      <c r="Z44" s="77">
        <f>IF(AO44="1",BF44,0)</f>
        <v>0</v>
      </c>
      <c r="AA44" s="77">
        <f>IF(AO44="1",BG44,0)</f>
        <v>0</v>
      </c>
      <c r="AB44" s="77">
        <f>IF(AO44="7",BF44,0)</f>
        <v>0</v>
      </c>
      <c r="AC44" s="77">
        <f>IF(AO44="7",BG44,0)</f>
        <v>0</v>
      </c>
      <c r="AD44" s="77">
        <f>IF(AO44="2",BF44,0)</f>
        <v>0</v>
      </c>
      <c r="AE44" s="77">
        <f>IF(AO44="2",BG44,0)</f>
        <v>0</v>
      </c>
      <c r="AF44" s="77">
        <f>IF(AO44="0",BH44,0)</f>
        <v>0</v>
      </c>
      <c r="AG44" s="71" t="s">
        <v>129</v>
      </c>
      <c r="AH44" s="77">
        <f>IF(AL44=0,J44,0)</f>
        <v>0</v>
      </c>
      <c r="AI44" s="77">
        <f>IF(AL44=15,J44,0)</f>
        <v>0</v>
      </c>
      <c r="AJ44" s="77">
        <f>IF(AL44=21,J44,0)</f>
        <v>0</v>
      </c>
      <c r="AL44" s="77">
        <v>15</v>
      </c>
      <c r="AM44" s="77">
        <f>G44*0</f>
        <v>0</v>
      </c>
      <c r="AN44" s="77">
        <f>G44*(1-0)</f>
        <v>0</v>
      </c>
      <c r="AO44" s="79" t="s">
        <v>132</v>
      </c>
      <c r="AT44" s="77">
        <f>AU44+AV44</f>
        <v>0</v>
      </c>
      <c r="AU44" s="77">
        <f>F44*AM44</f>
        <v>0</v>
      </c>
      <c r="AV44" s="77">
        <f>F44*AN44</f>
        <v>0</v>
      </c>
      <c r="AW44" s="79" t="s">
        <v>185</v>
      </c>
      <c r="AX44" s="79" t="s">
        <v>147</v>
      </c>
      <c r="AY44" s="71" t="s">
        <v>137</v>
      </c>
      <c r="BA44" s="77">
        <f>AU44+AV44</f>
        <v>0</v>
      </c>
      <c r="BB44" s="77">
        <f>G44/(100-BC44)*100</f>
        <v>0</v>
      </c>
      <c r="BC44" s="77">
        <v>0</v>
      </c>
      <c r="BD44" s="77">
        <f>L44</f>
        <v>0</v>
      </c>
      <c r="BF44" s="77">
        <f>F44*AM44</f>
        <v>0</v>
      </c>
      <c r="BG44" s="77">
        <f>F44*AN44</f>
        <v>0</v>
      </c>
      <c r="BH44" s="77">
        <f>F44*G44</f>
        <v>0</v>
      </c>
      <c r="BI44" s="77"/>
      <c r="BJ44" s="77">
        <v>13</v>
      </c>
      <c r="BU44" s="77" t="e">
        <f>#REF!</f>
        <v>#REF!</v>
      </c>
      <c r="BV44" s="70" t="s">
        <v>206</v>
      </c>
    </row>
    <row r="45" spans="1:74" ht="40.5" customHeight="1" x14ac:dyDescent="0.25">
      <c r="A45" s="104"/>
      <c r="B45" s="81" t="s">
        <v>138</v>
      </c>
      <c r="C45" s="303" t="s">
        <v>207</v>
      </c>
      <c r="D45" s="304"/>
      <c r="E45" s="304"/>
      <c r="F45" s="304"/>
      <c r="G45" s="304"/>
      <c r="H45" s="304"/>
      <c r="I45" s="304"/>
      <c r="J45" s="304"/>
      <c r="K45" s="304"/>
      <c r="L45" s="304"/>
      <c r="M45" s="305"/>
    </row>
    <row r="46" spans="1:74" x14ac:dyDescent="0.25">
      <c r="A46" s="105" t="s">
        <v>129</v>
      </c>
      <c r="B46" s="74" t="s">
        <v>204</v>
      </c>
      <c r="C46" s="314" t="s">
        <v>208</v>
      </c>
      <c r="D46" s="315"/>
      <c r="E46" s="75" t="s">
        <v>87</v>
      </c>
      <c r="F46" s="75" t="s">
        <v>87</v>
      </c>
      <c r="G46" s="75" t="s">
        <v>87</v>
      </c>
      <c r="H46" s="67">
        <f>SUM(H47:H49)</f>
        <v>0</v>
      </c>
      <c r="I46" s="67">
        <f>SUM(I47:I49)</f>
        <v>0</v>
      </c>
      <c r="J46" s="67">
        <f>SUM(J47:J49)</f>
        <v>0</v>
      </c>
      <c r="K46" s="71" t="s">
        <v>129</v>
      </c>
      <c r="L46" s="67">
        <f>SUM(L47:L49)</f>
        <v>0.2645962</v>
      </c>
      <c r="M46" s="106" t="s">
        <v>129</v>
      </c>
      <c r="AG46" s="71" t="s">
        <v>129</v>
      </c>
      <c r="AQ46" s="67">
        <f>SUM(AH47:AH49)</f>
        <v>0</v>
      </c>
      <c r="AR46" s="67">
        <f>SUM(AI47:AI49)</f>
        <v>0</v>
      </c>
      <c r="AS46" s="67">
        <f>SUM(AJ47:AJ49)</f>
        <v>0</v>
      </c>
    </row>
    <row r="47" spans="1:74" x14ac:dyDescent="0.25">
      <c r="A47" s="92" t="s">
        <v>209</v>
      </c>
      <c r="B47" s="69" t="s">
        <v>210</v>
      </c>
      <c r="C47" s="306" t="s">
        <v>211</v>
      </c>
      <c r="D47" s="307"/>
      <c r="E47" s="69" t="s">
        <v>166</v>
      </c>
      <c r="F47" s="77">
        <v>307.67</v>
      </c>
      <c r="G47" s="218">
        <v>0</v>
      </c>
      <c r="H47" s="77">
        <f>F47*AM47</f>
        <v>0</v>
      </c>
      <c r="I47" s="77">
        <f>F47*AN47</f>
        <v>0</v>
      </c>
      <c r="J47" s="77">
        <f>F47*G47</f>
        <v>0</v>
      </c>
      <c r="K47" s="77">
        <v>8.5999999999999998E-4</v>
      </c>
      <c r="L47" s="77">
        <f>F47*K47</f>
        <v>0.2645962</v>
      </c>
      <c r="M47" s="103" t="s">
        <v>35</v>
      </c>
      <c r="X47" s="77">
        <f>IF(AO47="5",BH47,0)</f>
        <v>0</v>
      </c>
      <c r="Z47" s="77">
        <f>IF(AO47="1",BF47,0)</f>
        <v>0</v>
      </c>
      <c r="AA47" s="77">
        <f>IF(AO47="1",BG47,0)</f>
        <v>0</v>
      </c>
      <c r="AB47" s="77">
        <f>IF(AO47="7",BF47,0)</f>
        <v>0</v>
      </c>
      <c r="AC47" s="77">
        <f>IF(AO47="7",BG47,0)</f>
        <v>0</v>
      </c>
      <c r="AD47" s="77">
        <f>IF(AO47="2",BF47,0)</f>
        <v>0</v>
      </c>
      <c r="AE47" s="77">
        <f>IF(AO47="2",BG47,0)</f>
        <v>0</v>
      </c>
      <c r="AF47" s="77">
        <f>IF(AO47="0",BH47,0)</f>
        <v>0</v>
      </c>
      <c r="AG47" s="71" t="s">
        <v>129</v>
      </c>
      <c r="AH47" s="77">
        <f>IF(AL47=0,J47,0)</f>
        <v>0</v>
      </c>
      <c r="AI47" s="77">
        <f>IF(AL47=15,J47,0)</f>
        <v>0</v>
      </c>
      <c r="AJ47" s="77">
        <f>IF(AL47=21,J47,0)</f>
        <v>0</v>
      </c>
      <c r="AL47" s="77">
        <v>15</v>
      </c>
      <c r="AM47" s="77">
        <f>G47*0.088676712</f>
        <v>0</v>
      </c>
      <c r="AN47" s="77">
        <f>G47*(1-0.088676712)</f>
        <v>0</v>
      </c>
      <c r="AO47" s="79" t="s">
        <v>132</v>
      </c>
      <c r="AT47" s="77">
        <f>AU47+AV47</f>
        <v>0</v>
      </c>
      <c r="AU47" s="77">
        <f>F47*AM47</f>
        <v>0</v>
      </c>
      <c r="AV47" s="77">
        <f>F47*AN47</f>
        <v>0</v>
      </c>
      <c r="AW47" s="79" t="s">
        <v>212</v>
      </c>
      <c r="AX47" s="79" t="s">
        <v>147</v>
      </c>
      <c r="AY47" s="71" t="s">
        <v>137</v>
      </c>
      <c r="BA47" s="77">
        <f>AU47+AV47</f>
        <v>0</v>
      </c>
      <c r="BB47" s="77">
        <f>G47/(100-BC47)*100</f>
        <v>0</v>
      </c>
      <c r="BC47" s="77">
        <v>0</v>
      </c>
      <c r="BD47" s="77">
        <f>L47</f>
        <v>0.2645962</v>
      </c>
      <c r="BF47" s="77">
        <f>F47*AM47</f>
        <v>0</v>
      </c>
      <c r="BG47" s="77">
        <f>F47*AN47</f>
        <v>0</v>
      </c>
      <c r="BH47" s="77">
        <f>F47*G47</f>
        <v>0</v>
      </c>
      <c r="BI47" s="77"/>
      <c r="BJ47" s="77">
        <v>15</v>
      </c>
      <c r="BU47" s="77" t="e">
        <f>#REF!</f>
        <v>#REF!</v>
      </c>
      <c r="BV47" s="70" t="s">
        <v>211</v>
      </c>
    </row>
    <row r="48" spans="1:74" ht="40.5" customHeight="1" x14ac:dyDescent="0.25">
      <c r="A48" s="104"/>
      <c r="B48" s="81" t="s">
        <v>138</v>
      </c>
      <c r="C48" s="303" t="s">
        <v>213</v>
      </c>
      <c r="D48" s="304"/>
      <c r="E48" s="304"/>
      <c r="F48" s="304"/>
      <c r="G48" s="304"/>
      <c r="H48" s="304"/>
      <c r="I48" s="304"/>
      <c r="J48" s="304"/>
      <c r="K48" s="304"/>
      <c r="L48" s="304"/>
      <c r="M48" s="305"/>
    </row>
    <row r="49" spans="1:74" x14ac:dyDescent="0.25">
      <c r="A49" s="92" t="s">
        <v>214</v>
      </c>
      <c r="B49" s="69" t="s">
        <v>215</v>
      </c>
      <c r="C49" s="306" t="s">
        <v>216</v>
      </c>
      <c r="D49" s="307"/>
      <c r="E49" s="69" t="s">
        <v>166</v>
      </c>
      <c r="F49" s="77">
        <v>307.67</v>
      </c>
      <c r="G49" s="218">
        <v>0</v>
      </c>
      <c r="H49" s="77">
        <f>F49*AM49</f>
        <v>0</v>
      </c>
      <c r="I49" s="77">
        <f>F49*AN49</f>
        <v>0</v>
      </c>
      <c r="J49" s="77">
        <f>F49*G49</f>
        <v>0</v>
      </c>
      <c r="K49" s="77">
        <v>0</v>
      </c>
      <c r="L49" s="77">
        <f>F49*K49</f>
        <v>0</v>
      </c>
      <c r="M49" s="103" t="s">
        <v>35</v>
      </c>
      <c r="X49" s="77">
        <f>IF(AO49="5",BH49,0)</f>
        <v>0</v>
      </c>
      <c r="Z49" s="77">
        <f>IF(AO49="1",BF49,0)</f>
        <v>0</v>
      </c>
      <c r="AA49" s="77">
        <f>IF(AO49="1",BG49,0)</f>
        <v>0</v>
      </c>
      <c r="AB49" s="77">
        <f>IF(AO49="7",BF49,0)</f>
        <v>0</v>
      </c>
      <c r="AC49" s="77">
        <f>IF(AO49="7",BG49,0)</f>
        <v>0</v>
      </c>
      <c r="AD49" s="77">
        <f>IF(AO49="2",BF49,0)</f>
        <v>0</v>
      </c>
      <c r="AE49" s="77">
        <f>IF(AO49="2",BG49,0)</f>
        <v>0</v>
      </c>
      <c r="AF49" s="77">
        <f>IF(AO49="0",BH49,0)</f>
        <v>0</v>
      </c>
      <c r="AG49" s="71" t="s">
        <v>129</v>
      </c>
      <c r="AH49" s="77">
        <f>IF(AL49=0,J49,0)</f>
        <v>0</v>
      </c>
      <c r="AI49" s="77">
        <f>IF(AL49=15,J49,0)</f>
        <v>0</v>
      </c>
      <c r="AJ49" s="77">
        <f>IF(AL49=21,J49,0)</f>
        <v>0</v>
      </c>
      <c r="AL49" s="77">
        <v>15</v>
      </c>
      <c r="AM49" s="77">
        <f>G49*0</f>
        <v>0</v>
      </c>
      <c r="AN49" s="77">
        <f>G49*(1-0)</f>
        <v>0</v>
      </c>
      <c r="AO49" s="79" t="s">
        <v>132</v>
      </c>
      <c r="AT49" s="77">
        <f>AU49+AV49</f>
        <v>0</v>
      </c>
      <c r="AU49" s="77">
        <f>F49*AM49</f>
        <v>0</v>
      </c>
      <c r="AV49" s="77">
        <f>F49*AN49</f>
        <v>0</v>
      </c>
      <c r="AW49" s="79" t="s">
        <v>212</v>
      </c>
      <c r="AX49" s="79" t="s">
        <v>147</v>
      </c>
      <c r="AY49" s="71" t="s">
        <v>137</v>
      </c>
      <c r="BA49" s="77">
        <f>AU49+AV49</f>
        <v>0</v>
      </c>
      <c r="BB49" s="77">
        <f>G49/(100-BC49)*100</f>
        <v>0</v>
      </c>
      <c r="BC49" s="77">
        <v>0</v>
      </c>
      <c r="BD49" s="77">
        <f>L49</f>
        <v>0</v>
      </c>
      <c r="BF49" s="77">
        <f>F49*AM49</f>
        <v>0</v>
      </c>
      <c r="BG49" s="77">
        <f>F49*AN49</f>
        <v>0</v>
      </c>
      <c r="BH49" s="77">
        <f>F49*G49</f>
        <v>0</v>
      </c>
      <c r="BI49" s="77"/>
      <c r="BJ49" s="77">
        <v>15</v>
      </c>
      <c r="BU49" s="77" t="e">
        <f>#REF!</f>
        <v>#REF!</v>
      </c>
      <c r="BV49" s="70" t="s">
        <v>216</v>
      </c>
    </row>
    <row r="50" spans="1:74" ht="40.5" customHeight="1" x14ac:dyDescent="0.25">
      <c r="A50" s="104"/>
      <c r="B50" s="81" t="s">
        <v>138</v>
      </c>
      <c r="C50" s="303" t="s">
        <v>217</v>
      </c>
      <c r="D50" s="304"/>
      <c r="E50" s="304"/>
      <c r="F50" s="304"/>
      <c r="G50" s="304"/>
      <c r="H50" s="304"/>
      <c r="I50" s="304"/>
      <c r="J50" s="304"/>
      <c r="K50" s="304"/>
      <c r="L50" s="304"/>
      <c r="M50" s="305"/>
    </row>
    <row r="51" spans="1:74" x14ac:dyDescent="0.25">
      <c r="A51" s="105" t="s">
        <v>129</v>
      </c>
      <c r="B51" s="74" t="s">
        <v>209</v>
      </c>
      <c r="C51" s="314" t="s">
        <v>218</v>
      </c>
      <c r="D51" s="315"/>
      <c r="E51" s="75" t="s">
        <v>87</v>
      </c>
      <c r="F51" s="75" t="s">
        <v>87</v>
      </c>
      <c r="G51" s="75" t="s">
        <v>87</v>
      </c>
      <c r="H51" s="67">
        <f>SUM(H52:H62)</f>
        <v>0</v>
      </c>
      <c r="I51" s="67">
        <f>SUM(I52:I62)</f>
        <v>0</v>
      </c>
      <c r="J51" s="67">
        <f>SUM(J52:J62)</f>
        <v>0</v>
      </c>
      <c r="K51" s="71" t="s">
        <v>129</v>
      </c>
      <c r="L51" s="67">
        <f>SUM(L52:L62)</f>
        <v>0</v>
      </c>
      <c r="M51" s="106" t="s">
        <v>129</v>
      </c>
      <c r="AG51" s="71" t="s">
        <v>129</v>
      </c>
      <c r="AQ51" s="67">
        <f>SUM(AH52:AH62)</f>
        <v>0</v>
      </c>
      <c r="AR51" s="67">
        <f>SUM(AI52:AI62)</f>
        <v>0</v>
      </c>
      <c r="AS51" s="67">
        <f>SUM(AJ52:AJ62)</f>
        <v>0</v>
      </c>
    </row>
    <row r="52" spans="1:74" x14ac:dyDescent="0.25">
      <c r="A52" s="92" t="s">
        <v>219</v>
      </c>
      <c r="B52" s="69" t="s">
        <v>220</v>
      </c>
      <c r="C52" s="306" t="s">
        <v>221</v>
      </c>
      <c r="D52" s="307"/>
      <c r="E52" s="69" t="s">
        <v>177</v>
      </c>
      <c r="F52" s="77">
        <v>89.32</v>
      </c>
      <c r="G52" s="218">
        <v>0</v>
      </c>
      <c r="H52" s="77">
        <f>F52*AM52</f>
        <v>0</v>
      </c>
      <c r="I52" s="77">
        <f>F52*AN52</f>
        <v>0</v>
      </c>
      <c r="J52" s="77">
        <f>F52*G52</f>
        <v>0</v>
      </c>
      <c r="K52" s="77">
        <v>0</v>
      </c>
      <c r="L52" s="77">
        <f>F52*K52</f>
        <v>0</v>
      </c>
      <c r="M52" s="103" t="s">
        <v>35</v>
      </c>
      <c r="X52" s="77">
        <f>IF(AO52="5",BH52,0)</f>
        <v>0</v>
      </c>
      <c r="Z52" s="77">
        <f>IF(AO52="1",BF52,0)</f>
        <v>0</v>
      </c>
      <c r="AA52" s="77">
        <f>IF(AO52="1",BG52,0)</f>
        <v>0</v>
      </c>
      <c r="AB52" s="77">
        <f>IF(AO52="7",BF52,0)</f>
        <v>0</v>
      </c>
      <c r="AC52" s="77">
        <f>IF(AO52="7",BG52,0)</f>
        <v>0</v>
      </c>
      <c r="AD52" s="77">
        <f>IF(AO52="2",BF52,0)</f>
        <v>0</v>
      </c>
      <c r="AE52" s="77">
        <f>IF(AO52="2",BG52,0)</f>
        <v>0</v>
      </c>
      <c r="AF52" s="77">
        <f>IF(AO52="0",BH52,0)</f>
        <v>0</v>
      </c>
      <c r="AG52" s="71" t="s">
        <v>129</v>
      </c>
      <c r="AH52" s="77">
        <f>IF(AL52=0,J52,0)</f>
        <v>0</v>
      </c>
      <c r="AI52" s="77">
        <f>IF(AL52=15,J52,0)</f>
        <v>0</v>
      </c>
      <c r="AJ52" s="77">
        <f>IF(AL52=21,J52,0)</f>
        <v>0</v>
      </c>
      <c r="AL52" s="77">
        <v>15</v>
      </c>
      <c r="AM52" s="77">
        <f>G52*0</f>
        <v>0</v>
      </c>
      <c r="AN52" s="77">
        <f>G52*(1-0)</f>
        <v>0</v>
      </c>
      <c r="AO52" s="79" t="s">
        <v>132</v>
      </c>
      <c r="AT52" s="77">
        <f>AU52+AV52</f>
        <v>0</v>
      </c>
      <c r="AU52" s="77">
        <f>F52*AM52</f>
        <v>0</v>
      </c>
      <c r="AV52" s="77">
        <f>F52*AN52</f>
        <v>0</v>
      </c>
      <c r="AW52" s="79" t="s">
        <v>222</v>
      </c>
      <c r="AX52" s="79" t="s">
        <v>147</v>
      </c>
      <c r="AY52" s="71" t="s">
        <v>137</v>
      </c>
      <c r="BA52" s="77">
        <f>AU52+AV52</f>
        <v>0</v>
      </c>
      <c r="BB52" s="77">
        <f>G52/(100-BC52)*100</f>
        <v>0</v>
      </c>
      <c r="BC52" s="77">
        <v>0</v>
      </c>
      <c r="BD52" s="77">
        <f>L52</f>
        <v>0</v>
      </c>
      <c r="BF52" s="77">
        <f>F52*AM52</f>
        <v>0</v>
      </c>
      <c r="BG52" s="77">
        <f>F52*AN52</f>
        <v>0</v>
      </c>
      <c r="BH52" s="77">
        <f>F52*G52</f>
        <v>0</v>
      </c>
      <c r="BI52" s="77"/>
      <c r="BJ52" s="77">
        <v>16</v>
      </c>
      <c r="BU52" s="77" t="e">
        <f>#REF!</f>
        <v>#REF!</v>
      </c>
      <c r="BV52" s="70" t="s">
        <v>221</v>
      </c>
    </row>
    <row r="53" spans="1:74" ht="54" customHeight="1" x14ac:dyDescent="0.25">
      <c r="A53" s="104"/>
      <c r="B53" s="81" t="s">
        <v>138</v>
      </c>
      <c r="C53" s="303" t="s">
        <v>223</v>
      </c>
      <c r="D53" s="304"/>
      <c r="E53" s="304"/>
      <c r="F53" s="304"/>
      <c r="G53" s="304"/>
      <c r="H53" s="304"/>
      <c r="I53" s="304"/>
      <c r="J53" s="304"/>
      <c r="K53" s="304"/>
      <c r="L53" s="304"/>
      <c r="M53" s="305"/>
    </row>
    <row r="54" spans="1:74" x14ac:dyDescent="0.25">
      <c r="A54" s="92" t="s">
        <v>224</v>
      </c>
      <c r="B54" s="69" t="s">
        <v>225</v>
      </c>
      <c r="C54" s="306" t="s">
        <v>226</v>
      </c>
      <c r="D54" s="307"/>
      <c r="E54" s="69" t="s">
        <v>177</v>
      </c>
      <c r="F54" s="77">
        <v>9.8800000000000008</v>
      </c>
      <c r="G54" s="218">
        <v>0</v>
      </c>
      <c r="H54" s="77">
        <f>F54*AM54</f>
        <v>0</v>
      </c>
      <c r="I54" s="77">
        <f>F54*AN54</f>
        <v>0</v>
      </c>
      <c r="J54" s="77">
        <f>F54*G54</f>
        <v>0</v>
      </c>
      <c r="K54" s="77">
        <v>0</v>
      </c>
      <c r="L54" s="77">
        <f>F54*K54</f>
        <v>0</v>
      </c>
      <c r="M54" s="103" t="s">
        <v>35</v>
      </c>
      <c r="X54" s="77">
        <f>IF(AO54="5",BH54,0)</f>
        <v>0</v>
      </c>
      <c r="Z54" s="77">
        <f>IF(AO54="1",BF54,0)</f>
        <v>0</v>
      </c>
      <c r="AA54" s="77">
        <f>IF(AO54="1",BG54,0)</f>
        <v>0</v>
      </c>
      <c r="AB54" s="77">
        <f>IF(AO54="7",BF54,0)</f>
        <v>0</v>
      </c>
      <c r="AC54" s="77">
        <f>IF(AO54="7",BG54,0)</f>
        <v>0</v>
      </c>
      <c r="AD54" s="77">
        <f>IF(AO54="2",BF54,0)</f>
        <v>0</v>
      </c>
      <c r="AE54" s="77">
        <f>IF(AO54="2",BG54,0)</f>
        <v>0</v>
      </c>
      <c r="AF54" s="77">
        <f>IF(AO54="0",BH54,0)</f>
        <v>0</v>
      </c>
      <c r="AG54" s="71" t="s">
        <v>129</v>
      </c>
      <c r="AH54" s="77">
        <f>IF(AL54=0,J54,0)</f>
        <v>0</v>
      </c>
      <c r="AI54" s="77">
        <f>IF(AL54=15,J54,0)</f>
        <v>0</v>
      </c>
      <c r="AJ54" s="77">
        <f>IF(AL54=21,J54,0)</f>
        <v>0</v>
      </c>
      <c r="AL54" s="77">
        <v>15</v>
      </c>
      <c r="AM54" s="77">
        <f>G54*0</f>
        <v>0</v>
      </c>
      <c r="AN54" s="77">
        <f>G54*(1-0)</f>
        <v>0</v>
      </c>
      <c r="AO54" s="79" t="s">
        <v>132</v>
      </c>
      <c r="AT54" s="77">
        <f>AU54+AV54</f>
        <v>0</v>
      </c>
      <c r="AU54" s="77">
        <f>F54*AM54</f>
        <v>0</v>
      </c>
      <c r="AV54" s="77">
        <f>F54*AN54</f>
        <v>0</v>
      </c>
      <c r="AW54" s="79" t="s">
        <v>222</v>
      </c>
      <c r="AX54" s="79" t="s">
        <v>147</v>
      </c>
      <c r="AY54" s="71" t="s">
        <v>137</v>
      </c>
      <c r="BA54" s="77">
        <f>AU54+AV54</f>
        <v>0</v>
      </c>
      <c r="BB54" s="77">
        <f>G54/(100-BC54)*100</f>
        <v>0</v>
      </c>
      <c r="BC54" s="77">
        <v>0</v>
      </c>
      <c r="BD54" s="77">
        <f>L54</f>
        <v>0</v>
      </c>
      <c r="BF54" s="77">
        <f>F54*AM54</f>
        <v>0</v>
      </c>
      <c r="BG54" s="77">
        <f>F54*AN54</f>
        <v>0</v>
      </c>
      <c r="BH54" s="77">
        <f>F54*G54</f>
        <v>0</v>
      </c>
      <c r="BI54" s="77"/>
      <c r="BJ54" s="77">
        <v>16</v>
      </c>
      <c r="BU54" s="77" t="e">
        <f>#REF!</f>
        <v>#REF!</v>
      </c>
      <c r="BV54" s="70" t="s">
        <v>226</v>
      </c>
    </row>
    <row r="55" spans="1:74" ht="67.5" customHeight="1" x14ac:dyDescent="0.25">
      <c r="A55" s="104"/>
      <c r="B55" s="81" t="s">
        <v>138</v>
      </c>
      <c r="C55" s="303" t="s">
        <v>227</v>
      </c>
      <c r="D55" s="304"/>
      <c r="E55" s="304"/>
      <c r="F55" s="304"/>
      <c r="G55" s="304"/>
      <c r="H55" s="304"/>
      <c r="I55" s="304"/>
      <c r="J55" s="304"/>
      <c r="K55" s="304"/>
      <c r="L55" s="304"/>
      <c r="M55" s="305"/>
    </row>
    <row r="56" spans="1:74" x14ac:dyDescent="0.25">
      <c r="A56" s="92" t="s">
        <v>228</v>
      </c>
      <c r="B56" s="69" t="s">
        <v>229</v>
      </c>
      <c r="C56" s="306" t="s">
        <v>230</v>
      </c>
      <c r="D56" s="307"/>
      <c r="E56" s="69" t="s">
        <v>177</v>
      </c>
      <c r="F56" s="77">
        <v>115.2</v>
      </c>
      <c r="G56" s="218">
        <v>0</v>
      </c>
      <c r="H56" s="77">
        <f>F56*AM56</f>
        <v>0</v>
      </c>
      <c r="I56" s="77">
        <f>F56*AN56</f>
        <v>0</v>
      </c>
      <c r="J56" s="77">
        <f>F56*G56</f>
        <v>0</v>
      </c>
      <c r="K56" s="77">
        <v>0</v>
      </c>
      <c r="L56" s="77">
        <f>F56*K56</f>
        <v>0</v>
      </c>
      <c r="M56" s="103" t="s">
        <v>35</v>
      </c>
      <c r="X56" s="77">
        <f>IF(AO56="5",BH56,0)</f>
        <v>0</v>
      </c>
      <c r="Z56" s="77">
        <f>IF(AO56="1",BF56,0)</f>
        <v>0</v>
      </c>
      <c r="AA56" s="77">
        <f>IF(AO56="1",BG56,0)</f>
        <v>0</v>
      </c>
      <c r="AB56" s="77">
        <f>IF(AO56="7",BF56,0)</f>
        <v>0</v>
      </c>
      <c r="AC56" s="77">
        <f>IF(AO56="7",BG56,0)</f>
        <v>0</v>
      </c>
      <c r="AD56" s="77">
        <f>IF(AO56="2",BF56,0)</f>
        <v>0</v>
      </c>
      <c r="AE56" s="77">
        <f>IF(AO56="2",BG56,0)</f>
        <v>0</v>
      </c>
      <c r="AF56" s="77">
        <f>IF(AO56="0",BH56,0)</f>
        <v>0</v>
      </c>
      <c r="AG56" s="71" t="s">
        <v>129</v>
      </c>
      <c r="AH56" s="77">
        <f>IF(AL56=0,J56,0)</f>
        <v>0</v>
      </c>
      <c r="AI56" s="77">
        <f>IF(AL56=15,J56,0)</f>
        <v>0</v>
      </c>
      <c r="AJ56" s="77">
        <f>IF(AL56=21,J56,0)</f>
        <v>0</v>
      </c>
      <c r="AL56" s="77">
        <v>15</v>
      </c>
      <c r="AM56" s="77">
        <f>G56*0</f>
        <v>0</v>
      </c>
      <c r="AN56" s="77">
        <f>G56*(1-0)</f>
        <v>0</v>
      </c>
      <c r="AO56" s="79" t="s">
        <v>132</v>
      </c>
      <c r="AT56" s="77">
        <f>AU56+AV56</f>
        <v>0</v>
      </c>
      <c r="AU56" s="77">
        <f>F56*AM56</f>
        <v>0</v>
      </c>
      <c r="AV56" s="77">
        <f>F56*AN56</f>
        <v>0</v>
      </c>
      <c r="AW56" s="79" t="s">
        <v>222</v>
      </c>
      <c r="AX56" s="79" t="s">
        <v>147</v>
      </c>
      <c r="AY56" s="71" t="s">
        <v>137</v>
      </c>
      <c r="BA56" s="77">
        <f>AU56+AV56</f>
        <v>0</v>
      </c>
      <c r="BB56" s="77">
        <f>G56/(100-BC56)*100</f>
        <v>0</v>
      </c>
      <c r="BC56" s="77">
        <v>0</v>
      </c>
      <c r="BD56" s="77">
        <f>L56</f>
        <v>0</v>
      </c>
      <c r="BF56" s="77">
        <f>F56*AM56</f>
        <v>0</v>
      </c>
      <c r="BG56" s="77">
        <f>F56*AN56</f>
        <v>0</v>
      </c>
      <c r="BH56" s="77">
        <f>F56*G56</f>
        <v>0</v>
      </c>
      <c r="BI56" s="77"/>
      <c r="BJ56" s="77">
        <v>16</v>
      </c>
      <c r="BU56" s="77" t="e">
        <f>#REF!</f>
        <v>#REF!</v>
      </c>
      <c r="BV56" s="70" t="s">
        <v>230</v>
      </c>
    </row>
    <row r="57" spans="1:74" ht="67.5" customHeight="1" x14ac:dyDescent="0.25">
      <c r="A57" s="104"/>
      <c r="B57" s="81" t="s">
        <v>138</v>
      </c>
      <c r="C57" s="303" t="s">
        <v>231</v>
      </c>
      <c r="D57" s="304"/>
      <c r="E57" s="304"/>
      <c r="F57" s="304"/>
      <c r="G57" s="304"/>
      <c r="H57" s="304"/>
      <c r="I57" s="304"/>
      <c r="J57" s="304"/>
      <c r="K57" s="304"/>
      <c r="L57" s="304"/>
      <c r="M57" s="305"/>
    </row>
    <row r="58" spans="1:74" x14ac:dyDescent="0.25">
      <c r="A58" s="92" t="s">
        <v>232</v>
      </c>
      <c r="B58" s="69" t="s">
        <v>233</v>
      </c>
      <c r="C58" s="306" t="s">
        <v>234</v>
      </c>
      <c r="D58" s="307"/>
      <c r="E58" s="69" t="s">
        <v>177</v>
      </c>
      <c r="F58" s="77">
        <v>19.75</v>
      </c>
      <c r="G58" s="218">
        <v>0</v>
      </c>
      <c r="H58" s="77">
        <f>F58*AM58</f>
        <v>0</v>
      </c>
      <c r="I58" s="77">
        <f>F58*AN58</f>
        <v>0</v>
      </c>
      <c r="J58" s="77">
        <f>F58*G58</f>
        <v>0</v>
      </c>
      <c r="K58" s="77">
        <v>0</v>
      </c>
      <c r="L58" s="77">
        <f>F58*K58</f>
        <v>0</v>
      </c>
      <c r="M58" s="103" t="s">
        <v>35</v>
      </c>
      <c r="X58" s="77">
        <f>IF(AO58="5",BH58,0)</f>
        <v>0</v>
      </c>
      <c r="Z58" s="77">
        <f>IF(AO58="1",BF58,0)</f>
        <v>0</v>
      </c>
      <c r="AA58" s="77">
        <f>IF(AO58="1",BG58,0)</f>
        <v>0</v>
      </c>
      <c r="AB58" s="77">
        <f>IF(AO58="7",BF58,0)</f>
        <v>0</v>
      </c>
      <c r="AC58" s="77">
        <f>IF(AO58="7",BG58,0)</f>
        <v>0</v>
      </c>
      <c r="AD58" s="77">
        <f>IF(AO58="2",BF58,0)</f>
        <v>0</v>
      </c>
      <c r="AE58" s="77">
        <f>IF(AO58="2",BG58,0)</f>
        <v>0</v>
      </c>
      <c r="AF58" s="77">
        <f>IF(AO58="0",BH58,0)</f>
        <v>0</v>
      </c>
      <c r="AG58" s="71" t="s">
        <v>129</v>
      </c>
      <c r="AH58" s="77">
        <f>IF(AL58=0,J58,0)</f>
        <v>0</v>
      </c>
      <c r="AI58" s="77">
        <f>IF(AL58=15,J58,0)</f>
        <v>0</v>
      </c>
      <c r="AJ58" s="77">
        <f>IF(AL58=21,J58,0)</f>
        <v>0</v>
      </c>
      <c r="AL58" s="77">
        <v>15</v>
      </c>
      <c r="AM58" s="77">
        <f>G58*0</f>
        <v>0</v>
      </c>
      <c r="AN58" s="77">
        <f>G58*(1-0)</f>
        <v>0</v>
      </c>
      <c r="AO58" s="79" t="s">
        <v>132</v>
      </c>
      <c r="AT58" s="77">
        <f>AU58+AV58</f>
        <v>0</v>
      </c>
      <c r="AU58" s="77">
        <f>F58*AM58</f>
        <v>0</v>
      </c>
      <c r="AV58" s="77">
        <f>F58*AN58</f>
        <v>0</v>
      </c>
      <c r="AW58" s="79" t="s">
        <v>222</v>
      </c>
      <c r="AX58" s="79" t="s">
        <v>147</v>
      </c>
      <c r="AY58" s="71" t="s">
        <v>137</v>
      </c>
      <c r="BA58" s="77">
        <f>AU58+AV58</f>
        <v>0</v>
      </c>
      <c r="BB58" s="77">
        <f>G58/(100-BC58)*100</f>
        <v>0</v>
      </c>
      <c r="BC58" s="77">
        <v>0</v>
      </c>
      <c r="BD58" s="77">
        <f>L58</f>
        <v>0</v>
      </c>
      <c r="BF58" s="77">
        <f>F58*AM58</f>
        <v>0</v>
      </c>
      <c r="BG58" s="77">
        <f>F58*AN58</f>
        <v>0</v>
      </c>
      <c r="BH58" s="77">
        <f>F58*G58</f>
        <v>0</v>
      </c>
      <c r="BI58" s="77"/>
      <c r="BJ58" s="77">
        <v>16</v>
      </c>
      <c r="BU58" s="77" t="e">
        <f>#REF!</f>
        <v>#REF!</v>
      </c>
      <c r="BV58" s="70" t="s">
        <v>234</v>
      </c>
    </row>
    <row r="59" spans="1:74" ht="54" customHeight="1" x14ac:dyDescent="0.25">
      <c r="A59" s="104"/>
      <c r="B59" s="81" t="s">
        <v>138</v>
      </c>
      <c r="C59" s="303" t="s">
        <v>235</v>
      </c>
      <c r="D59" s="304"/>
      <c r="E59" s="304"/>
      <c r="F59" s="304"/>
      <c r="G59" s="304"/>
      <c r="H59" s="304"/>
      <c r="I59" s="304"/>
      <c r="J59" s="304"/>
      <c r="K59" s="304"/>
      <c r="L59" s="304"/>
      <c r="M59" s="305"/>
    </row>
    <row r="60" spans="1:74" x14ac:dyDescent="0.25">
      <c r="A60" s="92" t="s">
        <v>236</v>
      </c>
      <c r="B60" s="69" t="s">
        <v>237</v>
      </c>
      <c r="C60" s="306" t="s">
        <v>238</v>
      </c>
      <c r="D60" s="307"/>
      <c r="E60" s="69" t="s">
        <v>177</v>
      </c>
      <c r="F60" s="77">
        <v>126.88</v>
      </c>
      <c r="G60" s="218">
        <v>0</v>
      </c>
      <c r="H60" s="77">
        <f>F60*AM60</f>
        <v>0</v>
      </c>
      <c r="I60" s="77">
        <f>F60*AN60</f>
        <v>0</v>
      </c>
      <c r="J60" s="77">
        <f>F60*G60</f>
        <v>0</v>
      </c>
      <c r="K60" s="77">
        <v>0</v>
      </c>
      <c r="L60" s="77">
        <f>F60*K60</f>
        <v>0</v>
      </c>
      <c r="M60" s="103" t="s">
        <v>35</v>
      </c>
      <c r="X60" s="77">
        <f>IF(AO60="5",BH60,0)</f>
        <v>0</v>
      </c>
      <c r="Z60" s="77">
        <f>IF(AO60="1",BF60,0)</f>
        <v>0</v>
      </c>
      <c r="AA60" s="77">
        <f>IF(AO60="1",BG60,0)</f>
        <v>0</v>
      </c>
      <c r="AB60" s="77">
        <f>IF(AO60="7",BF60,0)</f>
        <v>0</v>
      </c>
      <c r="AC60" s="77">
        <f>IF(AO60="7",BG60,0)</f>
        <v>0</v>
      </c>
      <c r="AD60" s="77">
        <f>IF(AO60="2",BF60,0)</f>
        <v>0</v>
      </c>
      <c r="AE60" s="77">
        <f>IF(AO60="2",BG60,0)</f>
        <v>0</v>
      </c>
      <c r="AF60" s="77">
        <f>IF(AO60="0",BH60,0)</f>
        <v>0</v>
      </c>
      <c r="AG60" s="71" t="s">
        <v>129</v>
      </c>
      <c r="AH60" s="77">
        <f>IF(AL60=0,J60,0)</f>
        <v>0</v>
      </c>
      <c r="AI60" s="77">
        <f>IF(AL60=15,J60,0)</f>
        <v>0</v>
      </c>
      <c r="AJ60" s="77">
        <f>IF(AL60=21,J60,0)</f>
        <v>0</v>
      </c>
      <c r="AL60" s="77">
        <v>15</v>
      </c>
      <c r="AM60" s="77">
        <f>G60*0</f>
        <v>0</v>
      </c>
      <c r="AN60" s="77">
        <f>G60*(1-0)</f>
        <v>0</v>
      </c>
      <c r="AO60" s="79" t="s">
        <v>132</v>
      </c>
      <c r="AT60" s="77">
        <f>AU60+AV60</f>
        <v>0</v>
      </c>
      <c r="AU60" s="77">
        <f>F60*AM60</f>
        <v>0</v>
      </c>
      <c r="AV60" s="77">
        <f>F60*AN60</f>
        <v>0</v>
      </c>
      <c r="AW60" s="79" t="s">
        <v>222</v>
      </c>
      <c r="AX60" s="79" t="s">
        <v>147</v>
      </c>
      <c r="AY60" s="71" t="s">
        <v>137</v>
      </c>
      <c r="BA60" s="77">
        <f>AU60+AV60</f>
        <v>0</v>
      </c>
      <c r="BB60" s="77">
        <f>G60/(100-BC60)*100</f>
        <v>0</v>
      </c>
      <c r="BC60" s="77">
        <v>0</v>
      </c>
      <c r="BD60" s="77">
        <f>L60</f>
        <v>0</v>
      </c>
      <c r="BF60" s="77">
        <f>F60*AM60</f>
        <v>0</v>
      </c>
      <c r="BG60" s="77">
        <f>F60*AN60</f>
        <v>0</v>
      </c>
      <c r="BH60" s="77">
        <f>F60*G60</f>
        <v>0</v>
      </c>
      <c r="BI60" s="77"/>
      <c r="BJ60" s="77">
        <v>16</v>
      </c>
      <c r="BU60" s="77" t="e">
        <f>#REF!</f>
        <v>#REF!</v>
      </c>
      <c r="BV60" s="70" t="s">
        <v>238</v>
      </c>
    </row>
    <row r="61" spans="1:74" ht="40.5" customHeight="1" x14ac:dyDescent="0.25">
      <c r="A61" s="104"/>
      <c r="B61" s="81" t="s">
        <v>138</v>
      </c>
      <c r="C61" s="303" t="s">
        <v>239</v>
      </c>
      <c r="D61" s="304"/>
      <c r="E61" s="304"/>
      <c r="F61" s="304"/>
      <c r="G61" s="304"/>
      <c r="H61" s="304"/>
      <c r="I61" s="304"/>
      <c r="J61" s="304"/>
      <c r="K61" s="304"/>
      <c r="L61" s="304"/>
      <c r="M61" s="305"/>
    </row>
    <row r="62" spans="1:74" x14ac:dyDescent="0.25">
      <c r="A62" s="92" t="s">
        <v>240</v>
      </c>
      <c r="B62" s="69" t="s">
        <v>241</v>
      </c>
      <c r="C62" s="306" t="s">
        <v>242</v>
      </c>
      <c r="D62" s="307"/>
      <c r="E62" s="69" t="s">
        <v>177</v>
      </c>
      <c r="F62" s="77">
        <v>126.88</v>
      </c>
      <c r="G62" s="218">
        <v>0</v>
      </c>
      <c r="H62" s="77">
        <f>F62*AM62</f>
        <v>0</v>
      </c>
      <c r="I62" s="77">
        <f>F62*AN62</f>
        <v>0</v>
      </c>
      <c r="J62" s="77">
        <f>F62*G62</f>
        <v>0</v>
      </c>
      <c r="K62" s="77">
        <v>0</v>
      </c>
      <c r="L62" s="77">
        <f>F62*K62</f>
        <v>0</v>
      </c>
      <c r="M62" s="103" t="s">
        <v>35</v>
      </c>
      <c r="X62" s="77">
        <f>IF(AO62="5",BH62,0)</f>
        <v>0</v>
      </c>
      <c r="Z62" s="77">
        <f>IF(AO62="1",BF62,0)</f>
        <v>0</v>
      </c>
      <c r="AA62" s="77">
        <f>IF(AO62="1",BG62,0)</f>
        <v>0</v>
      </c>
      <c r="AB62" s="77">
        <f>IF(AO62="7",BF62,0)</f>
        <v>0</v>
      </c>
      <c r="AC62" s="77">
        <f>IF(AO62="7",BG62,0)</f>
        <v>0</v>
      </c>
      <c r="AD62" s="77">
        <f>IF(AO62="2",BF62,0)</f>
        <v>0</v>
      </c>
      <c r="AE62" s="77">
        <f>IF(AO62="2",BG62,0)</f>
        <v>0</v>
      </c>
      <c r="AF62" s="77">
        <f>IF(AO62="0",BH62,0)</f>
        <v>0</v>
      </c>
      <c r="AG62" s="71" t="s">
        <v>129</v>
      </c>
      <c r="AH62" s="77">
        <f>IF(AL62=0,J62,0)</f>
        <v>0</v>
      </c>
      <c r="AI62" s="77">
        <f>IF(AL62=15,J62,0)</f>
        <v>0</v>
      </c>
      <c r="AJ62" s="77">
        <f>IF(AL62=21,J62,0)</f>
        <v>0</v>
      </c>
      <c r="AL62" s="77">
        <v>15</v>
      </c>
      <c r="AM62" s="77">
        <f>G62*0</f>
        <v>0</v>
      </c>
      <c r="AN62" s="77">
        <f>G62*(1-0)</f>
        <v>0</v>
      </c>
      <c r="AO62" s="79" t="s">
        <v>132</v>
      </c>
      <c r="AT62" s="77">
        <f>AU62+AV62</f>
        <v>0</v>
      </c>
      <c r="AU62" s="77">
        <f>F62*AM62</f>
        <v>0</v>
      </c>
      <c r="AV62" s="77">
        <f>F62*AN62</f>
        <v>0</v>
      </c>
      <c r="AW62" s="79" t="s">
        <v>222</v>
      </c>
      <c r="AX62" s="79" t="s">
        <v>147</v>
      </c>
      <c r="AY62" s="71" t="s">
        <v>137</v>
      </c>
      <c r="BA62" s="77">
        <f>AU62+AV62</f>
        <v>0</v>
      </c>
      <c r="BB62" s="77">
        <f>G62/(100-BC62)*100</f>
        <v>0</v>
      </c>
      <c r="BC62" s="77">
        <v>0</v>
      </c>
      <c r="BD62" s="77">
        <f>L62</f>
        <v>0</v>
      </c>
      <c r="BF62" s="77">
        <f>F62*AM62</f>
        <v>0</v>
      </c>
      <c r="BG62" s="77">
        <f>F62*AN62</f>
        <v>0</v>
      </c>
      <c r="BH62" s="77">
        <f>F62*G62</f>
        <v>0</v>
      </c>
      <c r="BI62" s="77"/>
      <c r="BJ62" s="77">
        <v>16</v>
      </c>
      <c r="BU62" s="77" t="e">
        <f>#REF!</f>
        <v>#REF!</v>
      </c>
      <c r="BV62" s="70" t="s">
        <v>242</v>
      </c>
    </row>
    <row r="63" spans="1:74" ht="40.5" customHeight="1" thickBot="1" x14ac:dyDescent="0.3">
      <c r="A63" s="107"/>
      <c r="B63" s="108" t="s">
        <v>138</v>
      </c>
      <c r="C63" s="308" t="s">
        <v>243</v>
      </c>
      <c r="D63" s="309"/>
      <c r="E63" s="309"/>
      <c r="F63" s="309"/>
      <c r="G63" s="309"/>
      <c r="H63" s="309"/>
      <c r="I63" s="309"/>
      <c r="J63" s="309"/>
      <c r="K63" s="309"/>
      <c r="L63" s="309"/>
      <c r="M63" s="310"/>
    </row>
    <row r="64" spans="1:74" x14ac:dyDescent="0.25">
      <c r="A64" s="97" t="s">
        <v>129</v>
      </c>
      <c r="B64" s="98" t="s">
        <v>214</v>
      </c>
      <c r="C64" s="318" t="s">
        <v>244</v>
      </c>
      <c r="D64" s="319"/>
      <c r="E64" s="99" t="s">
        <v>87</v>
      </c>
      <c r="F64" s="99" t="s">
        <v>87</v>
      </c>
      <c r="G64" s="99" t="s">
        <v>87</v>
      </c>
      <c r="H64" s="100">
        <f>SUM(H65:H68)</f>
        <v>0</v>
      </c>
      <c r="I64" s="100">
        <f>SUM(I65:I68)</f>
        <v>0</v>
      </c>
      <c r="J64" s="100">
        <f>SUM(J65:J68)</f>
        <v>0</v>
      </c>
      <c r="K64" s="101" t="s">
        <v>129</v>
      </c>
      <c r="L64" s="100">
        <f>SUM(L65:L68)</f>
        <v>101.133</v>
      </c>
      <c r="M64" s="102" t="s">
        <v>129</v>
      </c>
      <c r="AG64" s="71" t="s">
        <v>129</v>
      </c>
      <c r="AQ64" s="67">
        <f>SUM(AH65:AH68)</f>
        <v>0</v>
      </c>
      <c r="AR64" s="67">
        <f>SUM(AI65:AI68)</f>
        <v>0</v>
      </c>
      <c r="AS64" s="67">
        <f>SUM(AJ65:AJ68)</f>
        <v>0</v>
      </c>
    </row>
    <row r="65" spans="1:74" x14ac:dyDescent="0.25">
      <c r="A65" s="92" t="s">
        <v>245</v>
      </c>
      <c r="B65" s="69" t="s">
        <v>246</v>
      </c>
      <c r="C65" s="306" t="s">
        <v>247</v>
      </c>
      <c r="D65" s="307"/>
      <c r="E65" s="69" t="s">
        <v>177</v>
      </c>
      <c r="F65" s="77">
        <v>59.49</v>
      </c>
      <c r="G65" s="218">
        <v>0</v>
      </c>
      <c r="H65" s="77">
        <f>F65*AM65</f>
        <v>0</v>
      </c>
      <c r="I65" s="77">
        <f>F65*AN65</f>
        <v>0</v>
      </c>
      <c r="J65" s="77">
        <f>F65*G65</f>
        <v>0</v>
      </c>
      <c r="K65" s="77">
        <v>1.7</v>
      </c>
      <c r="L65" s="77">
        <f>F65*K65</f>
        <v>101.133</v>
      </c>
      <c r="M65" s="103" t="s">
        <v>35</v>
      </c>
      <c r="X65" s="77">
        <f>IF(AO65="5",BH65,0)</f>
        <v>0</v>
      </c>
      <c r="Z65" s="77">
        <f>IF(AO65="1",BF65,0)</f>
        <v>0</v>
      </c>
      <c r="AA65" s="77">
        <f>IF(AO65="1",BG65,0)</f>
        <v>0</v>
      </c>
      <c r="AB65" s="77">
        <f>IF(AO65="7",BF65,0)</f>
        <v>0</v>
      </c>
      <c r="AC65" s="77">
        <f>IF(AO65="7",BG65,0)</f>
        <v>0</v>
      </c>
      <c r="AD65" s="77">
        <f>IF(AO65="2",BF65,0)</f>
        <v>0</v>
      </c>
      <c r="AE65" s="77">
        <f>IF(AO65="2",BG65,0)</f>
        <v>0</v>
      </c>
      <c r="AF65" s="77">
        <f>IF(AO65="0",BH65,0)</f>
        <v>0</v>
      </c>
      <c r="AG65" s="71" t="s">
        <v>129</v>
      </c>
      <c r="AH65" s="77">
        <f>IF(AL65=0,J65,0)</f>
        <v>0</v>
      </c>
      <c r="AI65" s="77">
        <f>IF(AL65=15,J65,0)</f>
        <v>0</v>
      </c>
      <c r="AJ65" s="77">
        <f>IF(AL65=21,J65,0)</f>
        <v>0</v>
      </c>
      <c r="AL65" s="77">
        <v>15</v>
      </c>
      <c r="AM65" s="77">
        <f>G65*0.512975919</f>
        <v>0</v>
      </c>
      <c r="AN65" s="77">
        <f>G65*(1-0.512975919)</f>
        <v>0</v>
      </c>
      <c r="AO65" s="79" t="s">
        <v>132</v>
      </c>
      <c r="AT65" s="77">
        <f>AU65+AV65</f>
        <v>0</v>
      </c>
      <c r="AU65" s="77">
        <f>F65*AM65</f>
        <v>0</v>
      </c>
      <c r="AV65" s="77">
        <f>F65*AN65</f>
        <v>0</v>
      </c>
      <c r="AW65" s="79" t="s">
        <v>248</v>
      </c>
      <c r="AX65" s="79" t="s">
        <v>147</v>
      </c>
      <c r="AY65" s="71" t="s">
        <v>137</v>
      </c>
      <c r="BA65" s="77">
        <f>AU65+AV65</f>
        <v>0</v>
      </c>
      <c r="BB65" s="77">
        <f>G65/(100-BC65)*100</f>
        <v>0</v>
      </c>
      <c r="BC65" s="77">
        <v>0</v>
      </c>
      <c r="BD65" s="77">
        <f>L65</f>
        <v>101.133</v>
      </c>
      <c r="BF65" s="77">
        <f>F65*AM65</f>
        <v>0</v>
      </c>
      <c r="BG65" s="77">
        <f>F65*AN65</f>
        <v>0</v>
      </c>
      <c r="BH65" s="77">
        <f>F65*G65</f>
        <v>0</v>
      </c>
      <c r="BI65" s="77"/>
      <c r="BJ65" s="77">
        <v>17</v>
      </c>
      <c r="BU65" s="77" t="e">
        <f>#REF!</f>
        <v>#REF!</v>
      </c>
      <c r="BV65" s="70" t="s">
        <v>247</v>
      </c>
    </row>
    <row r="66" spans="1:74" ht="67.5" customHeight="1" x14ac:dyDescent="0.25">
      <c r="A66" s="104"/>
      <c r="B66" s="81" t="s">
        <v>138</v>
      </c>
      <c r="C66" s="303" t="s">
        <v>249</v>
      </c>
      <c r="D66" s="304"/>
      <c r="E66" s="304"/>
      <c r="F66" s="304"/>
      <c r="G66" s="304"/>
      <c r="H66" s="304"/>
      <c r="I66" s="304"/>
      <c r="J66" s="304"/>
      <c r="K66" s="304"/>
      <c r="L66" s="304"/>
      <c r="M66" s="305"/>
    </row>
    <row r="67" spans="1:74" x14ac:dyDescent="0.25">
      <c r="A67" s="92" t="s">
        <v>250</v>
      </c>
      <c r="B67" s="69" t="s">
        <v>251</v>
      </c>
      <c r="C67" s="306" t="s">
        <v>252</v>
      </c>
      <c r="D67" s="307"/>
      <c r="E67" s="69" t="s">
        <v>177</v>
      </c>
      <c r="F67" s="77">
        <v>59.49</v>
      </c>
      <c r="G67" s="218">
        <v>0</v>
      </c>
      <c r="H67" s="77">
        <f>F67*AM67</f>
        <v>0</v>
      </c>
      <c r="I67" s="77">
        <f>F67*AN67</f>
        <v>0</v>
      </c>
      <c r="J67" s="77">
        <f>F67*G67</f>
        <v>0</v>
      </c>
      <c r="K67" s="77">
        <v>0</v>
      </c>
      <c r="L67" s="77">
        <f>F67*K67</f>
        <v>0</v>
      </c>
      <c r="M67" s="103" t="s">
        <v>35</v>
      </c>
      <c r="X67" s="77">
        <f>IF(AO67="5",BH67,0)</f>
        <v>0</v>
      </c>
      <c r="Z67" s="77">
        <f>IF(AO67="1",BF67,0)</f>
        <v>0</v>
      </c>
      <c r="AA67" s="77">
        <f>IF(AO67="1",BG67,0)</f>
        <v>0</v>
      </c>
      <c r="AB67" s="77">
        <f>IF(AO67="7",BF67,0)</f>
        <v>0</v>
      </c>
      <c r="AC67" s="77">
        <f>IF(AO67="7",BG67,0)</f>
        <v>0</v>
      </c>
      <c r="AD67" s="77">
        <f>IF(AO67="2",BF67,0)</f>
        <v>0</v>
      </c>
      <c r="AE67" s="77">
        <f>IF(AO67="2",BG67,0)</f>
        <v>0</v>
      </c>
      <c r="AF67" s="77">
        <f>IF(AO67="0",BH67,0)</f>
        <v>0</v>
      </c>
      <c r="AG67" s="71" t="s">
        <v>129</v>
      </c>
      <c r="AH67" s="77">
        <f>IF(AL67=0,J67,0)</f>
        <v>0</v>
      </c>
      <c r="AI67" s="77">
        <f>IF(AL67=15,J67,0)</f>
        <v>0</v>
      </c>
      <c r="AJ67" s="77">
        <f>IF(AL67=21,J67,0)</f>
        <v>0</v>
      </c>
      <c r="AL67" s="77">
        <v>15</v>
      </c>
      <c r="AM67" s="77">
        <f>G67*0</f>
        <v>0</v>
      </c>
      <c r="AN67" s="77">
        <f>G67*(1-0)</f>
        <v>0</v>
      </c>
      <c r="AO67" s="79" t="s">
        <v>132</v>
      </c>
      <c r="AT67" s="77">
        <f>AU67+AV67</f>
        <v>0</v>
      </c>
      <c r="AU67" s="77">
        <f>F67*AM67</f>
        <v>0</v>
      </c>
      <c r="AV67" s="77">
        <f>F67*AN67</f>
        <v>0</v>
      </c>
      <c r="AW67" s="79" t="s">
        <v>248</v>
      </c>
      <c r="AX67" s="79" t="s">
        <v>147</v>
      </c>
      <c r="AY67" s="71" t="s">
        <v>137</v>
      </c>
      <c r="BA67" s="77">
        <f>AU67+AV67</f>
        <v>0</v>
      </c>
      <c r="BB67" s="77">
        <f>G67/(100-BC67)*100</f>
        <v>0</v>
      </c>
      <c r="BC67" s="77">
        <v>0</v>
      </c>
      <c r="BD67" s="77">
        <f>L67</f>
        <v>0</v>
      </c>
      <c r="BF67" s="77">
        <f>F67*AM67</f>
        <v>0</v>
      </c>
      <c r="BG67" s="77">
        <f>F67*AN67</f>
        <v>0</v>
      </c>
      <c r="BH67" s="77">
        <f>F67*G67</f>
        <v>0</v>
      </c>
      <c r="BI67" s="77"/>
      <c r="BJ67" s="77">
        <v>17</v>
      </c>
      <c r="BU67" s="77" t="e">
        <f>#REF!</f>
        <v>#REF!</v>
      </c>
      <c r="BV67" s="70" t="s">
        <v>252</v>
      </c>
    </row>
    <row r="68" spans="1:74" x14ac:dyDescent="0.25">
      <c r="A68" s="92" t="s">
        <v>253</v>
      </c>
      <c r="B68" s="69" t="s">
        <v>254</v>
      </c>
      <c r="C68" s="306" t="s">
        <v>255</v>
      </c>
      <c r="D68" s="307"/>
      <c r="E68" s="69" t="s">
        <v>177</v>
      </c>
      <c r="F68" s="77">
        <v>63.44</v>
      </c>
      <c r="G68" s="218">
        <v>0</v>
      </c>
      <c r="H68" s="77">
        <f>F68*AM68</f>
        <v>0</v>
      </c>
      <c r="I68" s="77">
        <f>F68*AN68</f>
        <v>0</v>
      </c>
      <c r="J68" s="77">
        <f>F68*G68</f>
        <v>0</v>
      </c>
      <c r="K68" s="77">
        <v>0</v>
      </c>
      <c r="L68" s="77">
        <f>F68*K68</f>
        <v>0</v>
      </c>
      <c r="M68" s="103" t="s">
        <v>35</v>
      </c>
      <c r="X68" s="77">
        <f>IF(AO68="5",BH68,0)</f>
        <v>0</v>
      </c>
      <c r="Z68" s="77">
        <f>IF(AO68="1",BF68,0)</f>
        <v>0</v>
      </c>
      <c r="AA68" s="77">
        <f>IF(AO68="1",BG68,0)</f>
        <v>0</v>
      </c>
      <c r="AB68" s="77">
        <f>IF(AO68="7",BF68,0)</f>
        <v>0</v>
      </c>
      <c r="AC68" s="77">
        <f>IF(AO68="7",BG68,0)</f>
        <v>0</v>
      </c>
      <c r="AD68" s="77">
        <f>IF(AO68="2",BF68,0)</f>
        <v>0</v>
      </c>
      <c r="AE68" s="77">
        <f>IF(AO68="2",BG68,0)</f>
        <v>0</v>
      </c>
      <c r="AF68" s="77">
        <f>IF(AO68="0",BH68,0)</f>
        <v>0</v>
      </c>
      <c r="AG68" s="71" t="s">
        <v>129</v>
      </c>
      <c r="AH68" s="77">
        <f>IF(AL68=0,J68,0)</f>
        <v>0</v>
      </c>
      <c r="AI68" s="77">
        <f>IF(AL68=15,J68,0)</f>
        <v>0</v>
      </c>
      <c r="AJ68" s="77">
        <f>IF(AL68=21,J68,0)</f>
        <v>0</v>
      </c>
      <c r="AL68" s="77">
        <v>15</v>
      </c>
      <c r="AM68" s="77">
        <f>G68*0</f>
        <v>0</v>
      </c>
      <c r="AN68" s="77">
        <f>G68*(1-0)</f>
        <v>0</v>
      </c>
      <c r="AO68" s="79" t="s">
        <v>132</v>
      </c>
      <c r="AT68" s="77">
        <f>AU68+AV68</f>
        <v>0</v>
      </c>
      <c r="AU68" s="77">
        <f>F68*AM68</f>
        <v>0</v>
      </c>
      <c r="AV68" s="77">
        <f>F68*AN68</f>
        <v>0</v>
      </c>
      <c r="AW68" s="79" t="s">
        <v>248</v>
      </c>
      <c r="AX68" s="79" t="s">
        <v>147</v>
      </c>
      <c r="AY68" s="71" t="s">
        <v>137</v>
      </c>
      <c r="BA68" s="77">
        <f>AU68+AV68</f>
        <v>0</v>
      </c>
      <c r="BB68" s="77">
        <f>G68/(100-BC68)*100</f>
        <v>0</v>
      </c>
      <c r="BC68" s="77">
        <v>0</v>
      </c>
      <c r="BD68" s="77">
        <f>L68</f>
        <v>0</v>
      </c>
      <c r="BF68" s="77">
        <f>F68*AM68</f>
        <v>0</v>
      </c>
      <c r="BG68" s="77">
        <f>F68*AN68</f>
        <v>0</v>
      </c>
      <c r="BH68" s="77">
        <f>F68*G68</f>
        <v>0</v>
      </c>
      <c r="BI68" s="77"/>
      <c r="BJ68" s="77">
        <v>17</v>
      </c>
      <c r="BU68" s="77" t="e">
        <f>#REF!</f>
        <v>#REF!</v>
      </c>
      <c r="BV68" s="70" t="s">
        <v>255</v>
      </c>
    </row>
    <row r="69" spans="1:74" ht="54" customHeight="1" x14ac:dyDescent="0.25">
      <c r="A69" s="104"/>
      <c r="B69" s="81" t="s">
        <v>138</v>
      </c>
      <c r="C69" s="303" t="s">
        <v>256</v>
      </c>
      <c r="D69" s="304"/>
      <c r="E69" s="304"/>
      <c r="F69" s="304"/>
      <c r="G69" s="304"/>
      <c r="H69" s="304"/>
      <c r="I69" s="304"/>
      <c r="J69" s="304"/>
      <c r="K69" s="304"/>
      <c r="L69" s="304"/>
      <c r="M69" s="305"/>
    </row>
    <row r="70" spans="1:74" x14ac:dyDescent="0.25">
      <c r="A70" s="105" t="s">
        <v>129</v>
      </c>
      <c r="B70" s="74" t="s">
        <v>224</v>
      </c>
      <c r="C70" s="314" t="s">
        <v>257</v>
      </c>
      <c r="D70" s="315"/>
      <c r="E70" s="75" t="s">
        <v>87</v>
      </c>
      <c r="F70" s="75" t="s">
        <v>87</v>
      </c>
      <c r="G70" s="75" t="s">
        <v>87</v>
      </c>
      <c r="H70" s="67">
        <f>SUM(H71:H73)</f>
        <v>0</v>
      </c>
      <c r="I70" s="67">
        <f>SUM(I71:I73)</f>
        <v>0</v>
      </c>
      <c r="J70" s="67">
        <f>SUM(J71:J73)</f>
        <v>0</v>
      </c>
      <c r="K70" s="71" t="s">
        <v>129</v>
      </c>
      <c r="L70" s="67">
        <f>SUM(L71:L73)</f>
        <v>0</v>
      </c>
      <c r="M70" s="106" t="s">
        <v>129</v>
      </c>
      <c r="AG70" s="71" t="s">
        <v>129</v>
      </c>
      <c r="AQ70" s="67">
        <f>SUM(AH71:AH73)</f>
        <v>0</v>
      </c>
      <c r="AR70" s="67">
        <f>SUM(AI71:AI73)</f>
        <v>0</v>
      </c>
      <c r="AS70" s="67">
        <f>SUM(AJ71:AJ73)</f>
        <v>0</v>
      </c>
    </row>
    <row r="71" spans="1:74" x14ac:dyDescent="0.25">
      <c r="A71" s="92" t="s">
        <v>258</v>
      </c>
      <c r="B71" s="69" t="s">
        <v>259</v>
      </c>
      <c r="C71" s="306" t="s">
        <v>260</v>
      </c>
      <c r="D71" s="307"/>
      <c r="E71" s="69" t="s">
        <v>177</v>
      </c>
      <c r="F71" s="77">
        <v>115.2</v>
      </c>
      <c r="G71" s="218">
        <v>0</v>
      </c>
      <c r="H71" s="77">
        <f>F71*AM71</f>
        <v>0</v>
      </c>
      <c r="I71" s="77">
        <f>F71*AN71</f>
        <v>0</v>
      </c>
      <c r="J71" s="77">
        <f>F71*G71</f>
        <v>0</v>
      </c>
      <c r="K71" s="77">
        <v>0</v>
      </c>
      <c r="L71" s="77">
        <f>F71*K71</f>
        <v>0</v>
      </c>
      <c r="M71" s="103" t="s">
        <v>35</v>
      </c>
      <c r="X71" s="77">
        <f>IF(AO71="5",BH71,0)</f>
        <v>0</v>
      </c>
      <c r="Z71" s="77">
        <f>IF(AO71="1",BF71,0)</f>
        <v>0</v>
      </c>
      <c r="AA71" s="77">
        <f>IF(AO71="1",BG71,0)</f>
        <v>0</v>
      </c>
      <c r="AB71" s="77">
        <f>IF(AO71="7",BF71,0)</f>
        <v>0</v>
      </c>
      <c r="AC71" s="77">
        <f>IF(AO71="7",BG71,0)</f>
        <v>0</v>
      </c>
      <c r="AD71" s="77">
        <f>IF(AO71="2",BF71,0)</f>
        <v>0</v>
      </c>
      <c r="AE71" s="77">
        <f>IF(AO71="2",BG71,0)</f>
        <v>0</v>
      </c>
      <c r="AF71" s="77">
        <f>IF(AO71="0",BH71,0)</f>
        <v>0</v>
      </c>
      <c r="AG71" s="71" t="s">
        <v>129</v>
      </c>
      <c r="AH71" s="77">
        <f>IF(AL71=0,J71,0)</f>
        <v>0</v>
      </c>
      <c r="AI71" s="77">
        <f>IF(AL71=15,J71,0)</f>
        <v>0</v>
      </c>
      <c r="AJ71" s="77">
        <f>IF(AL71=21,J71,0)</f>
        <v>0</v>
      </c>
      <c r="AL71" s="77">
        <v>15</v>
      </c>
      <c r="AM71" s="77">
        <f>G71*0</f>
        <v>0</v>
      </c>
      <c r="AN71" s="77">
        <f>G71*(1-0)</f>
        <v>0</v>
      </c>
      <c r="AO71" s="79" t="s">
        <v>132</v>
      </c>
      <c r="AT71" s="77">
        <f>AU71+AV71</f>
        <v>0</v>
      </c>
      <c r="AU71" s="77">
        <f>F71*AM71</f>
        <v>0</v>
      </c>
      <c r="AV71" s="77">
        <f>F71*AN71</f>
        <v>0</v>
      </c>
      <c r="AW71" s="79" t="s">
        <v>261</v>
      </c>
      <c r="AX71" s="79" t="s">
        <v>147</v>
      </c>
      <c r="AY71" s="71" t="s">
        <v>137</v>
      </c>
      <c r="BA71" s="77">
        <f>AU71+AV71</f>
        <v>0</v>
      </c>
      <c r="BB71" s="77">
        <f>G71/(100-BC71)*100</f>
        <v>0</v>
      </c>
      <c r="BC71" s="77">
        <v>0</v>
      </c>
      <c r="BD71" s="77">
        <f>L71</f>
        <v>0</v>
      </c>
      <c r="BF71" s="77">
        <f>F71*AM71</f>
        <v>0</v>
      </c>
      <c r="BG71" s="77">
        <f>F71*AN71</f>
        <v>0</v>
      </c>
      <c r="BH71" s="77">
        <f>F71*G71</f>
        <v>0</v>
      </c>
      <c r="BI71" s="77"/>
      <c r="BJ71" s="77">
        <v>19</v>
      </c>
      <c r="BU71" s="77" t="e">
        <f>#REF!</f>
        <v>#REF!</v>
      </c>
      <c r="BV71" s="70" t="s">
        <v>260</v>
      </c>
    </row>
    <row r="72" spans="1:74" ht="27" customHeight="1" x14ac:dyDescent="0.25">
      <c r="A72" s="104"/>
      <c r="B72" s="81" t="s">
        <v>138</v>
      </c>
      <c r="C72" s="303" t="s">
        <v>262</v>
      </c>
      <c r="D72" s="304"/>
      <c r="E72" s="304"/>
      <c r="F72" s="304"/>
      <c r="G72" s="304"/>
      <c r="H72" s="304"/>
      <c r="I72" s="304"/>
      <c r="J72" s="304"/>
      <c r="K72" s="304"/>
      <c r="L72" s="304"/>
      <c r="M72" s="305"/>
    </row>
    <row r="73" spans="1:74" x14ac:dyDescent="0.25">
      <c r="A73" s="92" t="s">
        <v>263</v>
      </c>
      <c r="B73" s="69" t="s">
        <v>264</v>
      </c>
      <c r="C73" s="306" t="s">
        <v>265</v>
      </c>
      <c r="D73" s="307"/>
      <c r="E73" s="69" t="s">
        <v>177</v>
      </c>
      <c r="F73" s="77">
        <v>19.75</v>
      </c>
      <c r="G73" s="218">
        <v>0</v>
      </c>
      <c r="H73" s="77">
        <f>F73*AM73</f>
        <v>0</v>
      </c>
      <c r="I73" s="77">
        <f>F73*AN73</f>
        <v>0</v>
      </c>
      <c r="J73" s="77">
        <f>F73*G73</f>
        <v>0</v>
      </c>
      <c r="K73" s="77">
        <v>0</v>
      </c>
      <c r="L73" s="77">
        <f>F73*K73</f>
        <v>0</v>
      </c>
      <c r="M73" s="103" t="s">
        <v>35</v>
      </c>
      <c r="X73" s="77">
        <f>IF(AO73="5",BH73,0)</f>
        <v>0</v>
      </c>
      <c r="Z73" s="77">
        <f>IF(AO73="1",BF73,0)</f>
        <v>0</v>
      </c>
      <c r="AA73" s="77">
        <f>IF(AO73="1",BG73,0)</f>
        <v>0</v>
      </c>
      <c r="AB73" s="77">
        <f>IF(AO73="7",BF73,0)</f>
        <v>0</v>
      </c>
      <c r="AC73" s="77">
        <f>IF(AO73="7",BG73,0)</f>
        <v>0</v>
      </c>
      <c r="AD73" s="77">
        <f>IF(AO73="2",BF73,0)</f>
        <v>0</v>
      </c>
      <c r="AE73" s="77">
        <f>IF(AO73="2",BG73,0)</f>
        <v>0</v>
      </c>
      <c r="AF73" s="77">
        <f>IF(AO73="0",BH73,0)</f>
        <v>0</v>
      </c>
      <c r="AG73" s="71" t="s">
        <v>129</v>
      </c>
      <c r="AH73" s="77">
        <f>IF(AL73=0,J73,0)</f>
        <v>0</v>
      </c>
      <c r="AI73" s="77">
        <f>IF(AL73=15,J73,0)</f>
        <v>0</v>
      </c>
      <c r="AJ73" s="77">
        <f>IF(AL73=21,J73,0)</f>
        <v>0</v>
      </c>
      <c r="AL73" s="77">
        <v>15</v>
      </c>
      <c r="AM73" s="77">
        <f>G73*0</f>
        <v>0</v>
      </c>
      <c r="AN73" s="77">
        <f>G73*(1-0)</f>
        <v>0</v>
      </c>
      <c r="AO73" s="79" t="s">
        <v>132</v>
      </c>
      <c r="AT73" s="77">
        <f>AU73+AV73</f>
        <v>0</v>
      </c>
      <c r="AU73" s="77">
        <f>F73*AM73</f>
        <v>0</v>
      </c>
      <c r="AV73" s="77">
        <f>F73*AN73</f>
        <v>0</v>
      </c>
      <c r="AW73" s="79" t="s">
        <v>261</v>
      </c>
      <c r="AX73" s="79" t="s">
        <v>147</v>
      </c>
      <c r="AY73" s="71" t="s">
        <v>137</v>
      </c>
      <c r="BA73" s="77">
        <f>AU73+AV73</f>
        <v>0</v>
      </c>
      <c r="BB73" s="77">
        <f>G73/(100-BC73)*100</f>
        <v>0</v>
      </c>
      <c r="BC73" s="77">
        <v>0</v>
      </c>
      <c r="BD73" s="77">
        <f>L73</f>
        <v>0</v>
      </c>
      <c r="BF73" s="77">
        <f>F73*AM73</f>
        <v>0</v>
      </c>
      <c r="BG73" s="77">
        <f>F73*AN73</f>
        <v>0</v>
      </c>
      <c r="BH73" s="77">
        <f>F73*G73</f>
        <v>0</v>
      </c>
      <c r="BI73" s="77"/>
      <c r="BJ73" s="77">
        <v>19</v>
      </c>
      <c r="BU73" s="77" t="e">
        <f>#REF!</f>
        <v>#REF!</v>
      </c>
      <c r="BV73" s="70" t="s">
        <v>265</v>
      </c>
    </row>
    <row r="74" spans="1:74" ht="27" customHeight="1" x14ac:dyDescent="0.25">
      <c r="A74" s="104"/>
      <c r="B74" s="81" t="s">
        <v>138</v>
      </c>
      <c r="C74" s="303" t="s">
        <v>266</v>
      </c>
      <c r="D74" s="304"/>
      <c r="E74" s="304"/>
      <c r="F74" s="304"/>
      <c r="G74" s="304"/>
      <c r="H74" s="304"/>
      <c r="I74" s="304"/>
      <c r="J74" s="304"/>
      <c r="K74" s="304"/>
      <c r="L74" s="304"/>
      <c r="M74" s="305"/>
    </row>
    <row r="75" spans="1:74" x14ac:dyDescent="0.25">
      <c r="A75" s="105" t="s">
        <v>129</v>
      </c>
      <c r="B75" s="74" t="s">
        <v>232</v>
      </c>
      <c r="C75" s="314" t="s">
        <v>267</v>
      </c>
      <c r="D75" s="315"/>
      <c r="E75" s="75" t="s">
        <v>87</v>
      </c>
      <c r="F75" s="75" t="s">
        <v>87</v>
      </c>
      <c r="G75" s="75" t="s">
        <v>87</v>
      </c>
      <c r="H75" s="67">
        <f>SUM(H76:H80)</f>
        <v>0</v>
      </c>
      <c r="I75" s="67">
        <f>SUM(I76:I80)</f>
        <v>0</v>
      </c>
      <c r="J75" s="67">
        <f>SUM(J76:J80)</f>
        <v>0</v>
      </c>
      <c r="K75" s="71" t="s">
        <v>129</v>
      </c>
      <c r="L75" s="67">
        <f>SUM(L76:L80)</f>
        <v>4.3625000000000007</v>
      </c>
      <c r="M75" s="106" t="s">
        <v>129</v>
      </c>
      <c r="AG75" s="71" t="s">
        <v>129</v>
      </c>
      <c r="AQ75" s="67">
        <f>SUM(AH76:AH80)</f>
        <v>0</v>
      </c>
      <c r="AR75" s="67">
        <f>SUM(AI76:AI80)</f>
        <v>0</v>
      </c>
      <c r="AS75" s="67">
        <f>SUM(AJ76:AJ80)</f>
        <v>0</v>
      </c>
    </row>
    <row r="76" spans="1:74" x14ac:dyDescent="0.25">
      <c r="A76" s="92" t="s">
        <v>268</v>
      </c>
      <c r="B76" s="69" t="s">
        <v>269</v>
      </c>
      <c r="C76" s="306" t="s">
        <v>270</v>
      </c>
      <c r="D76" s="307"/>
      <c r="E76" s="69" t="s">
        <v>166</v>
      </c>
      <c r="F76" s="77">
        <v>97.94</v>
      </c>
      <c r="G76" s="218">
        <v>0</v>
      </c>
      <c r="H76" s="77">
        <f>F76*AM76</f>
        <v>0</v>
      </c>
      <c r="I76" s="77">
        <f>F76*AN76</f>
        <v>0</v>
      </c>
      <c r="J76" s="77">
        <f>F76*G76</f>
        <v>0</v>
      </c>
      <c r="K76" s="77">
        <v>0</v>
      </c>
      <c r="L76" s="77">
        <f>F76*K76</f>
        <v>0</v>
      </c>
      <c r="M76" s="103" t="s">
        <v>35</v>
      </c>
      <c r="X76" s="77">
        <f>IF(AO76="5",BH76,0)</f>
        <v>0</v>
      </c>
      <c r="Z76" s="77">
        <f>IF(AO76="1",BF76,0)</f>
        <v>0</v>
      </c>
      <c r="AA76" s="77">
        <f>IF(AO76="1",BG76,0)</f>
        <v>0</v>
      </c>
      <c r="AB76" s="77">
        <f>IF(AO76="7",BF76,0)</f>
        <v>0</v>
      </c>
      <c r="AC76" s="77">
        <f>IF(AO76="7",BG76,0)</f>
        <v>0</v>
      </c>
      <c r="AD76" s="77">
        <f>IF(AO76="2",BF76,0)</f>
        <v>0</v>
      </c>
      <c r="AE76" s="77">
        <f>IF(AO76="2",BG76,0)</f>
        <v>0</v>
      </c>
      <c r="AF76" s="77">
        <f>IF(AO76="0",BH76,0)</f>
        <v>0</v>
      </c>
      <c r="AG76" s="71" t="s">
        <v>129</v>
      </c>
      <c r="AH76" s="77">
        <f>IF(AL76=0,J76,0)</f>
        <v>0</v>
      </c>
      <c r="AI76" s="77">
        <f>IF(AL76=15,J76,0)</f>
        <v>0</v>
      </c>
      <c r="AJ76" s="77">
        <f>IF(AL76=21,J76,0)</f>
        <v>0</v>
      </c>
      <c r="AL76" s="77">
        <v>15</v>
      </c>
      <c r="AM76" s="77">
        <f>G76*0</f>
        <v>0</v>
      </c>
      <c r="AN76" s="77">
        <f>G76*(1-0)</f>
        <v>0</v>
      </c>
      <c r="AO76" s="79" t="s">
        <v>132</v>
      </c>
      <c r="AT76" s="77">
        <f>AU76+AV76</f>
        <v>0</v>
      </c>
      <c r="AU76" s="77">
        <f>F76*AM76</f>
        <v>0</v>
      </c>
      <c r="AV76" s="77">
        <f>F76*AN76</f>
        <v>0</v>
      </c>
      <c r="AW76" s="79" t="s">
        <v>271</v>
      </c>
      <c r="AX76" s="79" t="s">
        <v>272</v>
      </c>
      <c r="AY76" s="71" t="s">
        <v>137</v>
      </c>
      <c r="BA76" s="77">
        <f>AU76+AV76</f>
        <v>0</v>
      </c>
      <c r="BB76" s="77">
        <f>G76/(100-BC76)*100</f>
        <v>0</v>
      </c>
      <c r="BC76" s="77">
        <v>0</v>
      </c>
      <c r="BD76" s="77">
        <f>L76</f>
        <v>0</v>
      </c>
      <c r="BF76" s="77">
        <f>F76*AM76</f>
        <v>0</v>
      </c>
      <c r="BG76" s="77">
        <f>F76*AN76</f>
        <v>0</v>
      </c>
      <c r="BH76" s="77">
        <f>F76*G76</f>
        <v>0</v>
      </c>
      <c r="BI76" s="77"/>
      <c r="BJ76" s="77">
        <v>21</v>
      </c>
      <c r="BU76" s="77" t="e">
        <f>#REF!</f>
        <v>#REF!</v>
      </c>
      <c r="BV76" s="70" t="s">
        <v>270</v>
      </c>
    </row>
    <row r="77" spans="1:74" ht="40.5" customHeight="1" x14ac:dyDescent="0.25">
      <c r="A77" s="104"/>
      <c r="B77" s="81" t="s">
        <v>138</v>
      </c>
      <c r="C77" s="303" t="s">
        <v>273</v>
      </c>
      <c r="D77" s="304"/>
      <c r="E77" s="304"/>
      <c r="F77" s="304"/>
      <c r="G77" s="304"/>
      <c r="H77" s="304"/>
      <c r="I77" s="304"/>
      <c r="J77" s="304"/>
      <c r="K77" s="304"/>
      <c r="L77" s="304"/>
      <c r="M77" s="305"/>
    </row>
    <row r="78" spans="1:74" x14ac:dyDescent="0.25">
      <c r="A78" s="92" t="s">
        <v>274</v>
      </c>
      <c r="B78" s="69" t="s">
        <v>275</v>
      </c>
      <c r="C78" s="306" t="s">
        <v>276</v>
      </c>
      <c r="D78" s="307"/>
      <c r="E78" s="69" t="s">
        <v>145</v>
      </c>
      <c r="F78" s="77">
        <v>10</v>
      </c>
      <c r="G78" s="218">
        <v>0</v>
      </c>
      <c r="H78" s="77">
        <f>F78*AM78</f>
        <v>0</v>
      </c>
      <c r="I78" s="77">
        <f>F78*AN78</f>
        <v>0</v>
      </c>
      <c r="J78" s="77">
        <f>F78*G78</f>
        <v>0</v>
      </c>
      <c r="K78" s="77">
        <v>0.43625000000000003</v>
      </c>
      <c r="L78" s="77">
        <f>F78*K78</f>
        <v>4.3625000000000007</v>
      </c>
      <c r="M78" s="103" t="s">
        <v>35</v>
      </c>
      <c r="X78" s="77">
        <f>IF(AO78="5",BH78,0)</f>
        <v>0</v>
      </c>
      <c r="Z78" s="77">
        <f>IF(AO78="1",BF78,0)</f>
        <v>0</v>
      </c>
      <c r="AA78" s="77">
        <f>IF(AO78="1",BG78,0)</f>
        <v>0</v>
      </c>
      <c r="AB78" s="77">
        <f>IF(AO78="7",BF78,0)</f>
        <v>0</v>
      </c>
      <c r="AC78" s="77">
        <f>IF(AO78="7",BG78,0)</f>
        <v>0</v>
      </c>
      <c r="AD78" s="77">
        <f>IF(AO78="2",BF78,0)</f>
        <v>0</v>
      </c>
      <c r="AE78" s="77">
        <f>IF(AO78="2",BG78,0)</f>
        <v>0</v>
      </c>
      <c r="AF78" s="77">
        <f>IF(AO78="0",BH78,0)</f>
        <v>0</v>
      </c>
      <c r="AG78" s="71" t="s">
        <v>129</v>
      </c>
      <c r="AH78" s="77">
        <f>IF(AL78=0,J78,0)</f>
        <v>0</v>
      </c>
      <c r="AI78" s="77">
        <f>IF(AL78=15,J78,0)</f>
        <v>0</v>
      </c>
      <c r="AJ78" s="77">
        <f>IF(AL78=21,J78,0)</f>
        <v>0</v>
      </c>
      <c r="AL78" s="77">
        <v>15</v>
      </c>
      <c r="AM78" s="77">
        <f>G78*0.436419557</f>
        <v>0</v>
      </c>
      <c r="AN78" s="77">
        <f>G78*(1-0.436419557)</f>
        <v>0</v>
      </c>
      <c r="AO78" s="79" t="s">
        <v>132</v>
      </c>
      <c r="AT78" s="77">
        <f>AU78+AV78</f>
        <v>0</v>
      </c>
      <c r="AU78" s="77">
        <f>F78*AM78</f>
        <v>0</v>
      </c>
      <c r="AV78" s="77">
        <f>F78*AN78</f>
        <v>0</v>
      </c>
      <c r="AW78" s="79" t="s">
        <v>271</v>
      </c>
      <c r="AX78" s="79" t="s">
        <v>272</v>
      </c>
      <c r="AY78" s="71" t="s">
        <v>137</v>
      </c>
      <c r="BA78" s="77">
        <f>AU78+AV78</f>
        <v>0</v>
      </c>
      <c r="BB78" s="77">
        <f>G78/(100-BC78)*100</f>
        <v>0</v>
      </c>
      <c r="BC78" s="77">
        <v>0</v>
      </c>
      <c r="BD78" s="77">
        <f>L78</f>
        <v>4.3625000000000007</v>
      </c>
      <c r="BF78" s="77">
        <f>F78*AM78</f>
        <v>0</v>
      </c>
      <c r="BG78" s="77">
        <f>F78*AN78</f>
        <v>0</v>
      </c>
      <c r="BH78" s="77">
        <f>F78*G78</f>
        <v>0</v>
      </c>
      <c r="BI78" s="77"/>
      <c r="BJ78" s="77">
        <v>21</v>
      </c>
      <c r="BU78" s="77" t="e">
        <f>#REF!</f>
        <v>#REF!</v>
      </c>
      <c r="BV78" s="70" t="s">
        <v>276</v>
      </c>
    </row>
    <row r="79" spans="1:74" ht="27" customHeight="1" x14ac:dyDescent="0.25">
      <c r="A79" s="104"/>
      <c r="B79" s="81" t="s">
        <v>138</v>
      </c>
      <c r="C79" s="303" t="s">
        <v>277</v>
      </c>
      <c r="D79" s="304"/>
      <c r="E79" s="304"/>
      <c r="F79" s="304"/>
      <c r="G79" s="304"/>
      <c r="H79" s="304"/>
      <c r="I79" s="304"/>
      <c r="J79" s="304"/>
      <c r="K79" s="304"/>
      <c r="L79" s="304"/>
      <c r="M79" s="305"/>
    </row>
    <row r="80" spans="1:74" x14ac:dyDescent="0.25">
      <c r="A80" s="92" t="s">
        <v>278</v>
      </c>
      <c r="B80" s="69" t="s">
        <v>279</v>
      </c>
      <c r="C80" s="306" t="s">
        <v>280</v>
      </c>
      <c r="D80" s="307"/>
      <c r="E80" s="69" t="s">
        <v>281</v>
      </c>
      <c r="F80" s="77">
        <v>4.3600000000000003</v>
      </c>
      <c r="G80" s="218">
        <v>0</v>
      </c>
      <c r="H80" s="77">
        <f>F80*AM80</f>
        <v>0</v>
      </c>
      <c r="I80" s="77">
        <f>F80*AN80</f>
        <v>0</v>
      </c>
      <c r="J80" s="77">
        <f>F80*G80</f>
        <v>0</v>
      </c>
      <c r="K80" s="77">
        <v>0</v>
      </c>
      <c r="L80" s="77">
        <f>F80*K80</f>
        <v>0</v>
      </c>
      <c r="M80" s="103" t="s">
        <v>35</v>
      </c>
      <c r="X80" s="77">
        <f>IF(AO80="5",BH80,0)</f>
        <v>0</v>
      </c>
      <c r="Z80" s="77">
        <f>IF(AO80="1",BF80,0)</f>
        <v>0</v>
      </c>
      <c r="AA80" s="77">
        <f>IF(AO80="1",BG80,0)</f>
        <v>0</v>
      </c>
      <c r="AB80" s="77">
        <f>IF(AO80="7",BF80,0)</f>
        <v>0</v>
      </c>
      <c r="AC80" s="77">
        <f>IF(AO80="7",BG80,0)</f>
        <v>0</v>
      </c>
      <c r="AD80" s="77">
        <f>IF(AO80="2",BF80,0)</f>
        <v>0</v>
      </c>
      <c r="AE80" s="77">
        <f>IF(AO80="2",BG80,0)</f>
        <v>0</v>
      </c>
      <c r="AF80" s="77">
        <f>IF(AO80="0",BH80,0)</f>
        <v>0</v>
      </c>
      <c r="AG80" s="71" t="s">
        <v>129</v>
      </c>
      <c r="AH80" s="77">
        <f>IF(AL80=0,J80,0)</f>
        <v>0</v>
      </c>
      <c r="AI80" s="77">
        <f>IF(AL80=15,J80,0)</f>
        <v>0</v>
      </c>
      <c r="AJ80" s="77">
        <f>IF(AL80=21,J80,0)</f>
        <v>0</v>
      </c>
      <c r="AL80" s="77">
        <v>15</v>
      </c>
      <c r="AM80" s="77">
        <f>G80*0</f>
        <v>0</v>
      </c>
      <c r="AN80" s="77">
        <f>G80*(1-0)</f>
        <v>0</v>
      </c>
      <c r="AO80" s="79" t="s">
        <v>158</v>
      </c>
      <c r="AT80" s="77">
        <f>AU80+AV80</f>
        <v>0</v>
      </c>
      <c r="AU80" s="77">
        <f>F80*AM80</f>
        <v>0</v>
      </c>
      <c r="AV80" s="77">
        <f>F80*AN80</f>
        <v>0</v>
      </c>
      <c r="AW80" s="79" t="s">
        <v>271</v>
      </c>
      <c r="AX80" s="79" t="s">
        <v>272</v>
      </c>
      <c r="AY80" s="71" t="s">
        <v>137</v>
      </c>
      <c r="BA80" s="77">
        <f>AU80+AV80</f>
        <v>0</v>
      </c>
      <c r="BB80" s="77">
        <f>G80/(100-BC80)*100</f>
        <v>0</v>
      </c>
      <c r="BC80" s="77">
        <v>0</v>
      </c>
      <c r="BD80" s="77">
        <f>L80</f>
        <v>0</v>
      </c>
      <c r="BF80" s="77">
        <f>F80*AM80</f>
        <v>0</v>
      </c>
      <c r="BG80" s="77">
        <f>F80*AN80</f>
        <v>0</v>
      </c>
      <c r="BH80" s="77">
        <f>F80*G80</f>
        <v>0</v>
      </c>
      <c r="BI80" s="77"/>
      <c r="BJ80" s="77">
        <v>21</v>
      </c>
      <c r="BU80" s="77" t="e">
        <f>#REF!</f>
        <v>#REF!</v>
      </c>
      <c r="BV80" s="70" t="s">
        <v>280</v>
      </c>
    </row>
    <row r="81" spans="1:74" x14ac:dyDescent="0.25">
      <c r="A81" s="105" t="s">
        <v>129</v>
      </c>
      <c r="B81" s="74" t="s">
        <v>258</v>
      </c>
      <c r="C81" s="314" t="s">
        <v>282</v>
      </c>
      <c r="D81" s="315"/>
      <c r="E81" s="75" t="s">
        <v>87</v>
      </c>
      <c r="F81" s="75" t="s">
        <v>87</v>
      </c>
      <c r="G81" s="75" t="s">
        <v>87</v>
      </c>
      <c r="H81" s="67">
        <f>SUM(H82:H82)</f>
        <v>0</v>
      </c>
      <c r="I81" s="67">
        <f>SUM(I82:I82)</f>
        <v>0</v>
      </c>
      <c r="J81" s="67">
        <f>SUM(J82:J82)</f>
        <v>0</v>
      </c>
      <c r="K81" s="71" t="s">
        <v>129</v>
      </c>
      <c r="L81" s="67">
        <f>SUM(L82:L82)</f>
        <v>2.1716204000000001</v>
      </c>
      <c r="M81" s="106" t="s">
        <v>129</v>
      </c>
      <c r="AG81" s="71" t="s">
        <v>129</v>
      </c>
      <c r="AQ81" s="67">
        <f>SUM(AH82:AH82)</f>
        <v>0</v>
      </c>
      <c r="AR81" s="67">
        <f>SUM(AI82:AI82)</f>
        <v>0</v>
      </c>
      <c r="AS81" s="67">
        <f>SUM(AJ82:AJ82)</f>
        <v>0</v>
      </c>
    </row>
    <row r="82" spans="1:74" x14ac:dyDescent="0.25">
      <c r="A82" s="92" t="s">
        <v>283</v>
      </c>
      <c r="B82" s="69" t="s">
        <v>284</v>
      </c>
      <c r="C82" s="306" t="s">
        <v>285</v>
      </c>
      <c r="D82" s="307"/>
      <c r="E82" s="69" t="s">
        <v>177</v>
      </c>
      <c r="F82" s="77">
        <v>0.86</v>
      </c>
      <c r="G82" s="218">
        <v>0</v>
      </c>
      <c r="H82" s="77">
        <f>F82*AM82</f>
        <v>0</v>
      </c>
      <c r="I82" s="77">
        <f>F82*AN82</f>
        <v>0</v>
      </c>
      <c r="J82" s="77">
        <f>F82*G82</f>
        <v>0</v>
      </c>
      <c r="K82" s="77">
        <v>2.5251399999999999</v>
      </c>
      <c r="L82" s="77">
        <f>F82*K82</f>
        <v>2.1716204000000001</v>
      </c>
      <c r="M82" s="103" t="s">
        <v>35</v>
      </c>
      <c r="X82" s="77">
        <f>IF(AO82="5",BH82,0)</f>
        <v>0</v>
      </c>
      <c r="Z82" s="77">
        <f>IF(AO82="1",BF82,0)</f>
        <v>0</v>
      </c>
      <c r="AA82" s="77">
        <f>IF(AO82="1",BG82,0)</f>
        <v>0</v>
      </c>
      <c r="AB82" s="77">
        <f>IF(AO82="7",BF82,0)</f>
        <v>0</v>
      </c>
      <c r="AC82" s="77">
        <f>IF(AO82="7",BG82,0)</f>
        <v>0</v>
      </c>
      <c r="AD82" s="77">
        <f>IF(AO82="2",BF82,0)</f>
        <v>0</v>
      </c>
      <c r="AE82" s="77">
        <f>IF(AO82="2",BG82,0)</f>
        <v>0</v>
      </c>
      <c r="AF82" s="77">
        <f>IF(AO82="0",BH82,0)</f>
        <v>0</v>
      </c>
      <c r="AG82" s="71" t="s">
        <v>129</v>
      </c>
      <c r="AH82" s="77">
        <f>IF(AL82=0,J82,0)</f>
        <v>0</v>
      </c>
      <c r="AI82" s="77">
        <f>IF(AL82=15,J82,0)</f>
        <v>0</v>
      </c>
      <c r="AJ82" s="77">
        <f>IF(AL82=21,J82,0)</f>
        <v>0</v>
      </c>
      <c r="AL82" s="77">
        <v>15</v>
      </c>
      <c r="AM82" s="77">
        <f>G82*0.848041841</f>
        <v>0</v>
      </c>
      <c r="AN82" s="77">
        <f>G82*(1-0.848041841)</f>
        <v>0</v>
      </c>
      <c r="AO82" s="79" t="s">
        <v>132</v>
      </c>
      <c r="AT82" s="77">
        <f>AU82+AV82</f>
        <v>0</v>
      </c>
      <c r="AU82" s="77">
        <f>F82*AM82</f>
        <v>0</v>
      </c>
      <c r="AV82" s="77">
        <f>F82*AN82</f>
        <v>0</v>
      </c>
      <c r="AW82" s="79" t="s">
        <v>286</v>
      </c>
      <c r="AX82" s="79" t="s">
        <v>272</v>
      </c>
      <c r="AY82" s="71" t="s">
        <v>137</v>
      </c>
      <c r="BA82" s="77">
        <f>AU82+AV82</f>
        <v>0</v>
      </c>
      <c r="BB82" s="77">
        <f>G82/(100-BC82)*100</f>
        <v>0</v>
      </c>
      <c r="BC82" s="77">
        <v>0</v>
      </c>
      <c r="BD82" s="77">
        <f>L82</f>
        <v>2.1716204000000001</v>
      </c>
      <c r="BF82" s="77">
        <f>F82*AM82</f>
        <v>0</v>
      </c>
      <c r="BG82" s="77">
        <f>F82*AN82</f>
        <v>0</v>
      </c>
      <c r="BH82" s="77">
        <f>F82*G82</f>
        <v>0</v>
      </c>
      <c r="BI82" s="77"/>
      <c r="BJ82" s="77">
        <v>27</v>
      </c>
      <c r="BU82" s="77" t="e">
        <f>#REF!</f>
        <v>#REF!</v>
      </c>
      <c r="BV82" s="70" t="s">
        <v>285</v>
      </c>
    </row>
    <row r="83" spans="1:74" ht="40.5" customHeight="1" x14ac:dyDescent="0.25">
      <c r="A83" s="104"/>
      <c r="B83" s="81" t="s">
        <v>138</v>
      </c>
      <c r="C83" s="303" t="s">
        <v>287</v>
      </c>
      <c r="D83" s="304"/>
      <c r="E83" s="304"/>
      <c r="F83" s="304"/>
      <c r="G83" s="304"/>
      <c r="H83" s="304"/>
      <c r="I83" s="304"/>
      <c r="J83" s="304"/>
      <c r="K83" s="304"/>
      <c r="L83" s="304"/>
      <c r="M83" s="305"/>
    </row>
    <row r="84" spans="1:74" x14ac:dyDescent="0.25">
      <c r="A84" s="105" t="s">
        <v>129</v>
      </c>
      <c r="B84" s="74" t="s">
        <v>288</v>
      </c>
      <c r="C84" s="314" t="s">
        <v>289</v>
      </c>
      <c r="D84" s="315"/>
      <c r="E84" s="75" t="s">
        <v>87</v>
      </c>
      <c r="F84" s="75" t="s">
        <v>87</v>
      </c>
      <c r="G84" s="75" t="s">
        <v>87</v>
      </c>
      <c r="H84" s="67">
        <f>SUM(H85:H85)</f>
        <v>0</v>
      </c>
      <c r="I84" s="67">
        <f>SUM(I85:I85)</f>
        <v>0</v>
      </c>
      <c r="J84" s="67">
        <f>SUM(J85:J85)</f>
        <v>0</v>
      </c>
      <c r="K84" s="71" t="s">
        <v>129</v>
      </c>
      <c r="L84" s="67">
        <f>SUM(L85:L85)</f>
        <v>29.042227199999999</v>
      </c>
      <c r="M84" s="106" t="s">
        <v>129</v>
      </c>
      <c r="AG84" s="71" t="s">
        <v>129</v>
      </c>
      <c r="AQ84" s="67">
        <f>SUM(AH85:AH85)</f>
        <v>0</v>
      </c>
      <c r="AR84" s="67">
        <f>SUM(AI85:AI85)</f>
        <v>0</v>
      </c>
      <c r="AS84" s="67">
        <f>SUM(AJ85:AJ85)</f>
        <v>0</v>
      </c>
    </row>
    <row r="85" spans="1:74" x14ac:dyDescent="0.25">
      <c r="A85" s="92" t="s">
        <v>290</v>
      </c>
      <c r="B85" s="69" t="s">
        <v>291</v>
      </c>
      <c r="C85" s="306" t="s">
        <v>292</v>
      </c>
      <c r="D85" s="307"/>
      <c r="E85" s="69" t="s">
        <v>177</v>
      </c>
      <c r="F85" s="77">
        <v>15.36</v>
      </c>
      <c r="G85" s="218">
        <v>0</v>
      </c>
      <c r="H85" s="77">
        <f>F85*AM85</f>
        <v>0</v>
      </c>
      <c r="I85" s="77">
        <f>F85*AN85</f>
        <v>0</v>
      </c>
      <c r="J85" s="77">
        <f>F85*G85</f>
        <v>0</v>
      </c>
      <c r="K85" s="77">
        <v>1.8907700000000001</v>
      </c>
      <c r="L85" s="77">
        <f>F85*K85</f>
        <v>29.042227199999999</v>
      </c>
      <c r="M85" s="103" t="s">
        <v>35</v>
      </c>
      <c r="X85" s="77">
        <f>IF(AO85="5",BH85,0)</f>
        <v>0</v>
      </c>
      <c r="Z85" s="77">
        <f>IF(AO85="1",BF85,0)</f>
        <v>0</v>
      </c>
      <c r="AA85" s="77">
        <f>IF(AO85="1",BG85,0)</f>
        <v>0</v>
      </c>
      <c r="AB85" s="77">
        <f>IF(AO85="7",BF85,0)</f>
        <v>0</v>
      </c>
      <c r="AC85" s="77">
        <f>IF(AO85="7",BG85,0)</f>
        <v>0</v>
      </c>
      <c r="AD85" s="77">
        <f>IF(AO85="2",BF85,0)</f>
        <v>0</v>
      </c>
      <c r="AE85" s="77">
        <f>IF(AO85="2",BG85,0)</f>
        <v>0</v>
      </c>
      <c r="AF85" s="77">
        <f>IF(AO85="0",BH85,0)</f>
        <v>0</v>
      </c>
      <c r="AG85" s="71" t="s">
        <v>129</v>
      </c>
      <c r="AH85" s="77">
        <f>IF(AL85=0,J85,0)</f>
        <v>0</v>
      </c>
      <c r="AI85" s="77">
        <f>IF(AL85=15,J85,0)</f>
        <v>0</v>
      </c>
      <c r="AJ85" s="77">
        <f>IF(AL85=21,J85,0)</f>
        <v>0</v>
      </c>
      <c r="AL85" s="77">
        <v>15</v>
      </c>
      <c r="AM85" s="77">
        <f>G85*0.487587983</f>
        <v>0</v>
      </c>
      <c r="AN85" s="77">
        <f>G85*(1-0.487587983)</f>
        <v>0</v>
      </c>
      <c r="AO85" s="79" t="s">
        <v>132</v>
      </c>
      <c r="AT85" s="77">
        <f>AU85+AV85</f>
        <v>0</v>
      </c>
      <c r="AU85" s="77">
        <f>F85*AM85</f>
        <v>0</v>
      </c>
      <c r="AV85" s="77">
        <f>F85*AN85</f>
        <v>0</v>
      </c>
      <c r="AW85" s="79" t="s">
        <v>293</v>
      </c>
      <c r="AX85" s="79" t="s">
        <v>294</v>
      </c>
      <c r="AY85" s="71" t="s">
        <v>137</v>
      </c>
      <c r="BA85" s="77">
        <f>AU85+AV85</f>
        <v>0</v>
      </c>
      <c r="BB85" s="77">
        <f>G85/(100-BC85)*100</f>
        <v>0</v>
      </c>
      <c r="BC85" s="77">
        <v>0</v>
      </c>
      <c r="BD85" s="77">
        <f>L85</f>
        <v>29.042227199999999</v>
      </c>
      <c r="BF85" s="77">
        <f>F85*AM85</f>
        <v>0</v>
      </c>
      <c r="BG85" s="77">
        <f>F85*AN85</f>
        <v>0</v>
      </c>
      <c r="BH85" s="77">
        <f>F85*G85</f>
        <v>0</v>
      </c>
      <c r="BI85" s="77"/>
      <c r="BJ85" s="77">
        <v>45</v>
      </c>
      <c r="BU85" s="77" t="e">
        <f>#REF!</f>
        <v>#REF!</v>
      </c>
      <c r="BV85" s="70" t="s">
        <v>292</v>
      </c>
    </row>
    <row r="86" spans="1:74" ht="40.5" customHeight="1" x14ac:dyDescent="0.25">
      <c r="A86" s="104"/>
      <c r="B86" s="81" t="s">
        <v>138</v>
      </c>
      <c r="C86" s="303" t="s">
        <v>295</v>
      </c>
      <c r="D86" s="304"/>
      <c r="E86" s="304"/>
      <c r="F86" s="304"/>
      <c r="G86" s="304"/>
      <c r="H86" s="304"/>
      <c r="I86" s="304"/>
      <c r="J86" s="304"/>
      <c r="K86" s="304"/>
      <c r="L86" s="304"/>
      <c r="M86" s="305"/>
    </row>
    <row r="87" spans="1:74" x14ac:dyDescent="0.25">
      <c r="A87" s="105" t="s">
        <v>129</v>
      </c>
      <c r="B87" s="74" t="s">
        <v>296</v>
      </c>
      <c r="C87" s="314" t="s">
        <v>297</v>
      </c>
      <c r="D87" s="315"/>
      <c r="E87" s="75" t="s">
        <v>87</v>
      </c>
      <c r="F87" s="75" t="s">
        <v>87</v>
      </c>
      <c r="G87" s="75" t="s">
        <v>87</v>
      </c>
      <c r="H87" s="67">
        <f>SUM(H88:H94)</f>
        <v>0</v>
      </c>
      <c r="I87" s="67">
        <f>SUM(I88:I94)</f>
        <v>0</v>
      </c>
      <c r="J87" s="67">
        <f>SUM(J88:J94)</f>
        <v>0</v>
      </c>
      <c r="K87" s="71" t="s">
        <v>129</v>
      </c>
      <c r="L87" s="67">
        <f>SUM(L88:L94)</f>
        <v>239.55484039999999</v>
      </c>
      <c r="M87" s="106" t="s">
        <v>129</v>
      </c>
      <c r="AG87" s="71" t="s">
        <v>129</v>
      </c>
      <c r="AQ87" s="67">
        <f>SUM(AH88:AH94)</f>
        <v>0</v>
      </c>
      <c r="AR87" s="67">
        <f>SUM(AI88:AI94)</f>
        <v>0</v>
      </c>
      <c r="AS87" s="67">
        <f>SUM(AJ88:AJ94)</f>
        <v>0</v>
      </c>
    </row>
    <row r="88" spans="1:74" x14ac:dyDescent="0.25">
      <c r="A88" s="92" t="s">
        <v>298</v>
      </c>
      <c r="B88" s="69" t="s">
        <v>299</v>
      </c>
      <c r="C88" s="306" t="s">
        <v>300</v>
      </c>
      <c r="D88" s="307"/>
      <c r="E88" s="69" t="s">
        <v>166</v>
      </c>
      <c r="F88" s="77">
        <v>129.38999999999999</v>
      </c>
      <c r="G88" s="218">
        <v>0</v>
      </c>
      <c r="H88" s="77">
        <f>F88*AM88</f>
        <v>0</v>
      </c>
      <c r="I88" s="77">
        <f>F88*AN88</f>
        <v>0</v>
      </c>
      <c r="J88" s="77">
        <f>F88*G88</f>
        <v>0</v>
      </c>
      <c r="K88" s="77">
        <v>0.46</v>
      </c>
      <c r="L88" s="77">
        <f>F88*K88</f>
        <v>59.519399999999997</v>
      </c>
      <c r="M88" s="103" t="s">
        <v>35</v>
      </c>
      <c r="X88" s="77">
        <f>IF(AO88="5",BH88,0)</f>
        <v>0</v>
      </c>
      <c r="Z88" s="77">
        <f>IF(AO88="1",BF88,0)</f>
        <v>0</v>
      </c>
      <c r="AA88" s="77">
        <f>IF(AO88="1",BG88,0)</f>
        <v>0</v>
      </c>
      <c r="AB88" s="77">
        <f>IF(AO88="7",BF88,0)</f>
        <v>0</v>
      </c>
      <c r="AC88" s="77">
        <f>IF(AO88="7",BG88,0)</f>
        <v>0</v>
      </c>
      <c r="AD88" s="77">
        <f>IF(AO88="2",BF88,0)</f>
        <v>0</v>
      </c>
      <c r="AE88" s="77">
        <f>IF(AO88="2",BG88,0)</f>
        <v>0</v>
      </c>
      <c r="AF88" s="77">
        <f>IF(AO88="0",BH88,0)</f>
        <v>0</v>
      </c>
      <c r="AG88" s="71" t="s">
        <v>129</v>
      </c>
      <c r="AH88" s="77">
        <f>IF(AL88=0,J88,0)</f>
        <v>0</v>
      </c>
      <c r="AI88" s="77">
        <f>IF(AL88=15,J88,0)</f>
        <v>0</v>
      </c>
      <c r="AJ88" s="77">
        <f>IF(AL88=21,J88,0)</f>
        <v>0</v>
      </c>
      <c r="AL88" s="77">
        <v>15</v>
      </c>
      <c r="AM88" s="77">
        <f>G88*0.85484468</f>
        <v>0</v>
      </c>
      <c r="AN88" s="77">
        <f>G88*(1-0.85484468)</f>
        <v>0</v>
      </c>
      <c r="AO88" s="79" t="s">
        <v>132</v>
      </c>
      <c r="AT88" s="77">
        <f>AU88+AV88</f>
        <v>0</v>
      </c>
      <c r="AU88" s="77">
        <f>F88*AM88</f>
        <v>0</v>
      </c>
      <c r="AV88" s="77">
        <f>F88*AN88</f>
        <v>0</v>
      </c>
      <c r="AW88" s="79" t="s">
        <v>301</v>
      </c>
      <c r="AX88" s="79" t="s">
        <v>302</v>
      </c>
      <c r="AY88" s="71" t="s">
        <v>137</v>
      </c>
      <c r="BA88" s="77">
        <f>AU88+AV88</f>
        <v>0</v>
      </c>
      <c r="BB88" s="77">
        <f>G88/(100-BC88)*100</f>
        <v>0</v>
      </c>
      <c r="BC88" s="77">
        <v>0</v>
      </c>
      <c r="BD88" s="77">
        <f>L88</f>
        <v>59.519399999999997</v>
      </c>
      <c r="BF88" s="77">
        <f>F88*AM88</f>
        <v>0</v>
      </c>
      <c r="BG88" s="77">
        <f>F88*AN88</f>
        <v>0</v>
      </c>
      <c r="BH88" s="77">
        <f>F88*G88</f>
        <v>0</v>
      </c>
      <c r="BI88" s="77"/>
      <c r="BJ88" s="77">
        <v>56</v>
      </c>
      <c r="BU88" s="77" t="e">
        <f>#REF!</f>
        <v>#REF!</v>
      </c>
      <c r="BV88" s="70" t="s">
        <v>300</v>
      </c>
    </row>
    <row r="89" spans="1:74" ht="40.5" customHeight="1" x14ac:dyDescent="0.25">
      <c r="A89" s="104"/>
      <c r="B89" s="81" t="s">
        <v>138</v>
      </c>
      <c r="C89" s="303" t="s">
        <v>303</v>
      </c>
      <c r="D89" s="304"/>
      <c r="E89" s="304"/>
      <c r="F89" s="304"/>
      <c r="G89" s="304"/>
      <c r="H89" s="304"/>
      <c r="I89" s="304"/>
      <c r="J89" s="304"/>
      <c r="K89" s="304"/>
      <c r="L89" s="304"/>
      <c r="M89" s="305"/>
    </row>
    <row r="90" spans="1:74" x14ac:dyDescent="0.25">
      <c r="A90" s="92" t="s">
        <v>304</v>
      </c>
      <c r="B90" s="69" t="s">
        <v>305</v>
      </c>
      <c r="C90" s="306" t="s">
        <v>306</v>
      </c>
      <c r="D90" s="307"/>
      <c r="E90" s="69" t="s">
        <v>166</v>
      </c>
      <c r="F90" s="77">
        <v>134.38999999999999</v>
      </c>
      <c r="G90" s="218">
        <v>0</v>
      </c>
      <c r="H90" s="77">
        <f>F90*AM90</f>
        <v>0</v>
      </c>
      <c r="I90" s="77">
        <f>F90*AN90</f>
        <v>0</v>
      </c>
      <c r="J90" s="77">
        <f>F90*G90</f>
        <v>0</v>
      </c>
      <c r="K90" s="77">
        <v>0.48574000000000001</v>
      </c>
      <c r="L90" s="77">
        <f>F90*K90</f>
        <v>65.278598599999995</v>
      </c>
      <c r="M90" s="103" t="s">
        <v>35</v>
      </c>
      <c r="X90" s="77">
        <f>IF(AO90="5",BH90,0)</f>
        <v>0</v>
      </c>
      <c r="Z90" s="77">
        <f>IF(AO90="1",BF90,0)</f>
        <v>0</v>
      </c>
      <c r="AA90" s="77">
        <f>IF(AO90="1",BG90,0)</f>
        <v>0</v>
      </c>
      <c r="AB90" s="77">
        <f>IF(AO90="7",BF90,0)</f>
        <v>0</v>
      </c>
      <c r="AC90" s="77">
        <f>IF(AO90="7",BG90,0)</f>
        <v>0</v>
      </c>
      <c r="AD90" s="77">
        <f>IF(AO90="2",BF90,0)</f>
        <v>0</v>
      </c>
      <c r="AE90" s="77">
        <f>IF(AO90="2",BG90,0)</f>
        <v>0</v>
      </c>
      <c r="AF90" s="77">
        <f>IF(AO90="0",BH90,0)</f>
        <v>0</v>
      </c>
      <c r="AG90" s="71" t="s">
        <v>129</v>
      </c>
      <c r="AH90" s="77">
        <f>IF(AL90=0,J90,0)</f>
        <v>0</v>
      </c>
      <c r="AI90" s="77">
        <f>IF(AL90=15,J90,0)</f>
        <v>0</v>
      </c>
      <c r="AJ90" s="77">
        <f>IF(AL90=21,J90,0)</f>
        <v>0</v>
      </c>
      <c r="AL90" s="77">
        <v>15</v>
      </c>
      <c r="AM90" s="77">
        <f>G90*0.813418445</f>
        <v>0</v>
      </c>
      <c r="AN90" s="77">
        <f>G90*(1-0.813418445)</f>
        <v>0</v>
      </c>
      <c r="AO90" s="79" t="s">
        <v>132</v>
      </c>
      <c r="AT90" s="77">
        <f>AU90+AV90</f>
        <v>0</v>
      </c>
      <c r="AU90" s="77">
        <f>F90*AM90</f>
        <v>0</v>
      </c>
      <c r="AV90" s="77">
        <f>F90*AN90</f>
        <v>0</v>
      </c>
      <c r="AW90" s="79" t="s">
        <v>301</v>
      </c>
      <c r="AX90" s="79" t="s">
        <v>302</v>
      </c>
      <c r="AY90" s="71" t="s">
        <v>137</v>
      </c>
      <c r="BA90" s="77">
        <f>AU90+AV90</f>
        <v>0</v>
      </c>
      <c r="BB90" s="77">
        <f>G90/(100-BC90)*100</f>
        <v>0</v>
      </c>
      <c r="BC90" s="77">
        <v>0</v>
      </c>
      <c r="BD90" s="77">
        <f>L90</f>
        <v>65.278598599999995</v>
      </c>
      <c r="BF90" s="77">
        <f>F90*AM90</f>
        <v>0</v>
      </c>
      <c r="BG90" s="77">
        <f>F90*AN90</f>
        <v>0</v>
      </c>
      <c r="BH90" s="77">
        <f>F90*G90</f>
        <v>0</v>
      </c>
      <c r="BI90" s="77"/>
      <c r="BJ90" s="77">
        <v>56</v>
      </c>
      <c r="BU90" s="77" t="e">
        <f>#REF!</f>
        <v>#REF!</v>
      </c>
      <c r="BV90" s="70" t="s">
        <v>306</v>
      </c>
    </row>
    <row r="91" spans="1:74" ht="40.5" customHeight="1" x14ac:dyDescent="0.25">
      <c r="A91" s="104"/>
      <c r="B91" s="81" t="s">
        <v>138</v>
      </c>
      <c r="C91" s="303" t="s">
        <v>307</v>
      </c>
      <c r="D91" s="304"/>
      <c r="E91" s="304"/>
      <c r="F91" s="304"/>
      <c r="G91" s="304"/>
      <c r="H91" s="304"/>
      <c r="I91" s="304"/>
      <c r="J91" s="304"/>
      <c r="K91" s="304"/>
      <c r="L91" s="304"/>
      <c r="M91" s="305"/>
    </row>
    <row r="92" spans="1:74" x14ac:dyDescent="0.25">
      <c r="A92" s="92" t="s">
        <v>308</v>
      </c>
      <c r="B92" s="69" t="s">
        <v>305</v>
      </c>
      <c r="C92" s="306" t="s">
        <v>306</v>
      </c>
      <c r="D92" s="307"/>
      <c r="E92" s="69" t="s">
        <v>166</v>
      </c>
      <c r="F92" s="77">
        <v>138.57</v>
      </c>
      <c r="G92" s="218">
        <v>0</v>
      </c>
      <c r="H92" s="77">
        <f>F92*AM92</f>
        <v>0</v>
      </c>
      <c r="I92" s="77">
        <f>F92*AN92</f>
        <v>0</v>
      </c>
      <c r="J92" s="77">
        <f>F92*G92</f>
        <v>0</v>
      </c>
      <c r="K92" s="77">
        <v>0.48574000000000001</v>
      </c>
      <c r="L92" s="77">
        <f>F92*K92</f>
        <v>67.308991800000001</v>
      </c>
      <c r="M92" s="103" t="s">
        <v>35</v>
      </c>
      <c r="X92" s="77">
        <f>IF(AO92="5",BH92,0)</f>
        <v>0</v>
      </c>
      <c r="Z92" s="77">
        <f>IF(AO92="1",BF92,0)</f>
        <v>0</v>
      </c>
      <c r="AA92" s="77">
        <f>IF(AO92="1",BG92,0)</f>
        <v>0</v>
      </c>
      <c r="AB92" s="77">
        <f>IF(AO92="7",BF92,0)</f>
        <v>0</v>
      </c>
      <c r="AC92" s="77">
        <f>IF(AO92="7",BG92,0)</f>
        <v>0</v>
      </c>
      <c r="AD92" s="77">
        <f>IF(AO92="2",BF92,0)</f>
        <v>0</v>
      </c>
      <c r="AE92" s="77">
        <f>IF(AO92="2",BG92,0)</f>
        <v>0</v>
      </c>
      <c r="AF92" s="77">
        <f>IF(AO92="0",BH92,0)</f>
        <v>0</v>
      </c>
      <c r="AG92" s="71" t="s">
        <v>129</v>
      </c>
      <c r="AH92" s="77">
        <f>IF(AL92=0,J92,0)</f>
        <v>0</v>
      </c>
      <c r="AI92" s="77">
        <f>IF(AL92=15,J92,0)</f>
        <v>0</v>
      </c>
      <c r="AJ92" s="77">
        <f>IF(AL92=21,J92,0)</f>
        <v>0</v>
      </c>
      <c r="AL92" s="77">
        <v>15</v>
      </c>
      <c r="AM92" s="77">
        <f>G92*0.81341825</f>
        <v>0</v>
      </c>
      <c r="AN92" s="77">
        <f>G92*(1-0.81341825)</f>
        <v>0</v>
      </c>
      <c r="AO92" s="79" t="s">
        <v>132</v>
      </c>
      <c r="AT92" s="77">
        <f>AU92+AV92</f>
        <v>0</v>
      </c>
      <c r="AU92" s="77">
        <f>F92*AM92</f>
        <v>0</v>
      </c>
      <c r="AV92" s="77">
        <f>F92*AN92</f>
        <v>0</v>
      </c>
      <c r="AW92" s="79" t="s">
        <v>301</v>
      </c>
      <c r="AX92" s="79" t="s">
        <v>302</v>
      </c>
      <c r="AY92" s="71" t="s">
        <v>137</v>
      </c>
      <c r="BA92" s="77">
        <f>AU92+AV92</f>
        <v>0</v>
      </c>
      <c r="BB92" s="77">
        <f>G92/(100-BC92)*100</f>
        <v>0</v>
      </c>
      <c r="BC92" s="77">
        <v>0</v>
      </c>
      <c r="BD92" s="77">
        <f>L92</f>
        <v>67.308991800000001</v>
      </c>
      <c r="BF92" s="77">
        <f>F92*AM92</f>
        <v>0</v>
      </c>
      <c r="BG92" s="77">
        <f>F92*AN92</f>
        <v>0</v>
      </c>
      <c r="BH92" s="77">
        <f>F92*G92</f>
        <v>0</v>
      </c>
      <c r="BI92" s="77"/>
      <c r="BJ92" s="77">
        <v>56</v>
      </c>
      <c r="BU92" s="77" t="e">
        <f>#REF!</f>
        <v>#REF!</v>
      </c>
      <c r="BV92" s="70" t="s">
        <v>306</v>
      </c>
    </row>
    <row r="93" spans="1:74" ht="40.5" customHeight="1" x14ac:dyDescent="0.25">
      <c r="A93" s="104"/>
      <c r="B93" s="81" t="s">
        <v>138</v>
      </c>
      <c r="C93" s="303" t="s">
        <v>309</v>
      </c>
      <c r="D93" s="304"/>
      <c r="E93" s="304"/>
      <c r="F93" s="304"/>
      <c r="G93" s="304"/>
      <c r="H93" s="304"/>
      <c r="I93" s="304"/>
      <c r="J93" s="304"/>
      <c r="K93" s="304"/>
      <c r="L93" s="304"/>
      <c r="M93" s="305"/>
    </row>
    <row r="94" spans="1:74" x14ac:dyDescent="0.25">
      <c r="A94" s="92" t="s">
        <v>310</v>
      </c>
      <c r="B94" s="69" t="s">
        <v>311</v>
      </c>
      <c r="C94" s="306" t="s">
        <v>312</v>
      </c>
      <c r="D94" s="307"/>
      <c r="E94" s="69" t="s">
        <v>166</v>
      </c>
      <c r="F94" s="77">
        <v>137.53</v>
      </c>
      <c r="G94" s="218">
        <v>0</v>
      </c>
      <c r="H94" s="77">
        <f>F94*AM94</f>
        <v>0</v>
      </c>
      <c r="I94" s="77">
        <f>F94*AN94</f>
        <v>0</v>
      </c>
      <c r="J94" s="77">
        <f>F94*G94</f>
        <v>0</v>
      </c>
      <c r="K94" s="77">
        <v>0.34499999999999997</v>
      </c>
      <c r="L94" s="77">
        <f>F94*K94</f>
        <v>47.447849999999995</v>
      </c>
      <c r="M94" s="103" t="s">
        <v>35</v>
      </c>
      <c r="X94" s="77">
        <f>IF(AO94="5",BH94,0)</f>
        <v>0</v>
      </c>
      <c r="Z94" s="77">
        <f>IF(AO94="1",BF94,0)</f>
        <v>0</v>
      </c>
      <c r="AA94" s="77">
        <f>IF(AO94="1",BG94,0)</f>
        <v>0</v>
      </c>
      <c r="AB94" s="77">
        <f>IF(AO94="7",BF94,0)</f>
        <v>0</v>
      </c>
      <c r="AC94" s="77">
        <f>IF(AO94="7",BG94,0)</f>
        <v>0</v>
      </c>
      <c r="AD94" s="77">
        <f>IF(AO94="2",BF94,0)</f>
        <v>0</v>
      </c>
      <c r="AE94" s="77">
        <f>IF(AO94="2",BG94,0)</f>
        <v>0</v>
      </c>
      <c r="AF94" s="77">
        <f>IF(AO94="0",BH94,0)</f>
        <v>0</v>
      </c>
      <c r="AG94" s="71" t="s">
        <v>129</v>
      </c>
      <c r="AH94" s="77">
        <f>IF(AL94=0,J94,0)</f>
        <v>0</v>
      </c>
      <c r="AI94" s="77">
        <f>IF(AL94=15,J94,0)</f>
        <v>0</v>
      </c>
      <c r="AJ94" s="77">
        <f>IF(AL94=21,J94,0)</f>
        <v>0</v>
      </c>
      <c r="AL94" s="77">
        <v>15</v>
      </c>
      <c r="AM94" s="77">
        <f>G94*0.8268291</f>
        <v>0</v>
      </c>
      <c r="AN94" s="77">
        <f>G94*(1-0.8268291)</f>
        <v>0</v>
      </c>
      <c r="AO94" s="79" t="s">
        <v>132</v>
      </c>
      <c r="AT94" s="77">
        <f>AU94+AV94</f>
        <v>0</v>
      </c>
      <c r="AU94" s="77">
        <f>F94*AM94</f>
        <v>0</v>
      </c>
      <c r="AV94" s="77">
        <f>F94*AN94</f>
        <v>0</v>
      </c>
      <c r="AW94" s="79" t="s">
        <v>301</v>
      </c>
      <c r="AX94" s="79" t="s">
        <v>302</v>
      </c>
      <c r="AY94" s="71" t="s">
        <v>137</v>
      </c>
      <c r="BA94" s="77">
        <f>AU94+AV94</f>
        <v>0</v>
      </c>
      <c r="BB94" s="77">
        <f>G94/(100-BC94)*100</f>
        <v>0</v>
      </c>
      <c r="BC94" s="77">
        <v>0</v>
      </c>
      <c r="BD94" s="77">
        <f>L94</f>
        <v>47.447849999999995</v>
      </c>
      <c r="BF94" s="77">
        <f>F94*AM94</f>
        <v>0</v>
      </c>
      <c r="BG94" s="77">
        <f>F94*AN94</f>
        <v>0</v>
      </c>
      <c r="BH94" s="77">
        <f>F94*G94</f>
        <v>0</v>
      </c>
      <c r="BI94" s="77"/>
      <c r="BJ94" s="77">
        <v>56</v>
      </c>
      <c r="BU94" s="77" t="e">
        <f>#REF!</f>
        <v>#REF!</v>
      </c>
      <c r="BV94" s="70" t="s">
        <v>312</v>
      </c>
    </row>
    <row r="95" spans="1:74" ht="40.5" customHeight="1" x14ac:dyDescent="0.25">
      <c r="A95" s="104"/>
      <c r="B95" s="81" t="s">
        <v>138</v>
      </c>
      <c r="C95" s="303" t="s">
        <v>313</v>
      </c>
      <c r="D95" s="304"/>
      <c r="E95" s="304"/>
      <c r="F95" s="304"/>
      <c r="G95" s="304"/>
      <c r="H95" s="304"/>
      <c r="I95" s="304"/>
      <c r="J95" s="304"/>
      <c r="K95" s="304"/>
      <c r="L95" s="304"/>
      <c r="M95" s="305"/>
    </row>
    <row r="96" spans="1:74" x14ac:dyDescent="0.25">
      <c r="A96" s="105" t="s">
        <v>129</v>
      </c>
      <c r="B96" s="74" t="s">
        <v>314</v>
      </c>
      <c r="C96" s="314" t="s">
        <v>315</v>
      </c>
      <c r="D96" s="315"/>
      <c r="E96" s="75" t="s">
        <v>87</v>
      </c>
      <c r="F96" s="75" t="s">
        <v>87</v>
      </c>
      <c r="G96" s="75" t="s">
        <v>87</v>
      </c>
      <c r="H96" s="67">
        <f>SUM(H97:H103)</f>
        <v>0</v>
      </c>
      <c r="I96" s="67">
        <f>SUM(I97:I103)</f>
        <v>0</v>
      </c>
      <c r="J96" s="67">
        <f>SUM(J97:J103)</f>
        <v>0</v>
      </c>
      <c r="K96" s="71" t="s">
        <v>129</v>
      </c>
      <c r="L96" s="67">
        <f>SUM(L97:L103)</f>
        <v>1.405E-2</v>
      </c>
      <c r="M96" s="106" t="s">
        <v>129</v>
      </c>
      <c r="AG96" s="71" t="s">
        <v>129</v>
      </c>
      <c r="AQ96" s="67">
        <f>SUM(AH97:AH103)</f>
        <v>0</v>
      </c>
      <c r="AR96" s="67">
        <f>SUM(AI97:AI103)</f>
        <v>0</v>
      </c>
      <c r="AS96" s="67">
        <f>SUM(AJ97:AJ103)</f>
        <v>0</v>
      </c>
    </row>
    <row r="97" spans="1:74" x14ac:dyDescent="0.25">
      <c r="A97" s="92" t="s">
        <v>316</v>
      </c>
      <c r="B97" s="69" t="s">
        <v>317</v>
      </c>
      <c r="C97" s="306" t="s">
        <v>318</v>
      </c>
      <c r="D97" s="307"/>
      <c r="E97" s="69" t="s">
        <v>145</v>
      </c>
      <c r="F97" s="77">
        <v>79.5</v>
      </c>
      <c r="G97" s="218">
        <v>0</v>
      </c>
      <c r="H97" s="77">
        <f>F97*AM97</f>
        <v>0</v>
      </c>
      <c r="I97" s="77">
        <f>F97*AN97</f>
        <v>0</v>
      </c>
      <c r="J97" s="77">
        <f>F97*G97</f>
        <v>0</v>
      </c>
      <c r="K97" s="77">
        <v>1.6000000000000001E-4</v>
      </c>
      <c r="L97" s="77">
        <f>F97*K97</f>
        <v>1.272E-2</v>
      </c>
      <c r="M97" s="103" t="s">
        <v>35</v>
      </c>
      <c r="X97" s="77">
        <f>IF(AO97="5",BH97,0)</f>
        <v>0</v>
      </c>
      <c r="Z97" s="77">
        <f>IF(AO97="1",BF97,0)</f>
        <v>0</v>
      </c>
      <c r="AA97" s="77">
        <f>IF(AO97="1",BG97,0)</f>
        <v>0</v>
      </c>
      <c r="AB97" s="77">
        <f>IF(AO97="7",BF97,0)</f>
        <v>0</v>
      </c>
      <c r="AC97" s="77">
        <f>IF(AO97="7",BG97,0)</f>
        <v>0</v>
      </c>
      <c r="AD97" s="77">
        <f>IF(AO97="2",BF97,0)</f>
        <v>0</v>
      </c>
      <c r="AE97" s="77">
        <f>IF(AO97="2",BG97,0)</f>
        <v>0</v>
      </c>
      <c r="AF97" s="77">
        <f>IF(AO97="0",BH97,0)</f>
        <v>0</v>
      </c>
      <c r="AG97" s="71" t="s">
        <v>129</v>
      </c>
      <c r="AH97" s="77">
        <f>IF(AL97=0,J97,0)</f>
        <v>0</v>
      </c>
      <c r="AI97" s="77">
        <f>IF(AL97=15,J97,0)</f>
        <v>0</v>
      </c>
      <c r="AJ97" s="77">
        <f>IF(AL97=21,J97,0)</f>
        <v>0</v>
      </c>
      <c r="AL97" s="77">
        <v>15</v>
      </c>
      <c r="AM97" s="77">
        <f>G97*0.065555556</f>
        <v>0</v>
      </c>
      <c r="AN97" s="77">
        <f>G97*(1-0.065555556)</f>
        <v>0</v>
      </c>
      <c r="AO97" s="79" t="s">
        <v>132</v>
      </c>
      <c r="AT97" s="77">
        <f>AU97+AV97</f>
        <v>0</v>
      </c>
      <c r="AU97" s="77">
        <f>F97*AM97</f>
        <v>0</v>
      </c>
      <c r="AV97" s="77">
        <f>F97*AN97</f>
        <v>0</v>
      </c>
      <c r="AW97" s="79" t="s">
        <v>319</v>
      </c>
      <c r="AX97" s="79" t="s">
        <v>320</v>
      </c>
      <c r="AY97" s="71" t="s">
        <v>137</v>
      </c>
      <c r="BA97" s="77">
        <f>AU97+AV97</f>
        <v>0</v>
      </c>
      <c r="BB97" s="77">
        <f>G97/(100-BC97)*100</f>
        <v>0</v>
      </c>
      <c r="BC97" s="77">
        <v>0</v>
      </c>
      <c r="BD97" s="77">
        <f>L97</f>
        <v>1.272E-2</v>
      </c>
      <c r="BF97" s="77">
        <f>F97*AM97</f>
        <v>0</v>
      </c>
      <c r="BG97" s="77">
        <f>F97*AN97</f>
        <v>0</v>
      </c>
      <c r="BH97" s="77">
        <f>F97*G97</f>
        <v>0</v>
      </c>
      <c r="BI97" s="77"/>
      <c r="BJ97" s="77">
        <v>87</v>
      </c>
      <c r="BU97" s="77" t="e">
        <f>#REF!</f>
        <v>#REF!</v>
      </c>
      <c r="BV97" s="70" t="s">
        <v>318</v>
      </c>
    </row>
    <row r="98" spans="1:74" ht="54" customHeight="1" thickBot="1" x14ac:dyDescent="0.3">
      <c r="A98" s="107"/>
      <c r="B98" s="108" t="s">
        <v>138</v>
      </c>
      <c r="C98" s="308" t="s">
        <v>321</v>
      </c>
      <c r="D98" s="309"/>
      <c r="E98" s="309"/>
      <c r="F98" s="309"/>
      <c r="G98" s="309"/>
      <c r="H98" s="309"/>
      <c r="I98" s="309"/>
      <c r="J98" s="309"/>
      <c r="K98" s="309"/>
      <c r="L98" s="309"/>
      <c r="M98" s="310"/>
    </row>
    <row r="99" spans="1:74" x14ac:dyDescent="0.25">
      <c r="A99" s="122" t="s">
        <v>322</v>
      </c>
      <c r="B99" s="109" t="s">
        <v>323</v>
      </c>
      <c r="C99" s="312" t="s">
        <v>324</v>
      </c>
      <c r="D99" s="313"/>
      <c r="E99" s="109" t="s">
        <v>325</v>
      </c>
      <c r="F99" s="123">
        <v>7</v>
      </c>
      <c r="G99" s="219">
        <v>0</v>
      </c>
      <c r="H99" s="123">
        <f>F99*AM99</f>
        <v>0</v>
      </c>
      <c r="I99" s="123">
        <f>F99*AN99</f>
        <v>0</v>
      </c>
      <c r="J99" s="123">
        <f>F99*G99</f>
        <v>0</v>
      </c>
      <c r="K99" s="123">
        <v>5.0000000000000002E-5</v>
      </c>
      <c r="L99" s="123">
        <f>F99*K99</f>
        <v>3.5E-4</v>
      </c>
      <c r="M99" s="124" t="s">
        <v>35</v>
      </c>
      <c r="X99" s="77">
        <f>IF(AO99="5",BH99,0)</f>
        <v>0</v>
      </c>
      <c r="Z99" s="77">
        <f>IF(AO99="1",BF99,0)</f>
        <v>0</v>
      </c>
      <c r="AA99" s="77">
        <f>IF(AO99="1",BG99,0)</f>
        <v>0</v>
      </c>
      <c r="AB99" s="77">
        <f>IF(AO99="7",BF99,0)</f>
        <v>0</v>
      </c>
      <c r="AC99" s="77">
        <f>IF(AO99="7",BG99,0)</f>
        <v>0</v>
      </c>
      <c r="AD99" s="77">
        <f>IF(AO99="2",BF99,0)</f>
        <v>0</v>
      </c>
      <c r="AE99" s="77">
        <f>IF(AO99="2",BG99,0)</f>
        <v>0</v>
      </c>
      <c r="AF99" s="77">
        <f>IF(AO99="0",BH99,0)</f>
        <v>0</v>
      </c>
      <c r="AG99" s="71" t="s">
        <v>129</v>
      </c>
      <c r="AH99" s="77">
        <f>IF(AL99=0,J99,0)</f>
        <v>0</v>
      </c>
      <c r="AI99" s="77">
        <f>IF(AL99=15,J99,0)</f>
        <v>0</v>
      </c>
      <c r="AJ99" s="77">
        <f>IF(AL99=21,J99,0)</f>
        <v>0</v>
      </c>
      <c r="AL99" s="77">
        <v>15</v>
      </c>
      <c r="AM99" s="77">
        <f>G99*0.010466102</f>
        <v>0</v>
      </c>
      <c r="AN99" s="77">
        <f>G99*(1-0.010466102)</f>
        <v>0</v>
      </c>
      <c r="AO99" s="79" t="s">
        <v>132</v>
      </c>
      <c r="AT99" s="77">
        <f>AU99+AV99</f>
        <v>0</v>
      </c>
      <c r="AU99" s="77">
        <f>F99*AM99</f>
        <v>0</v>
      </c>
      <c r="AV99" s="77">
        <f>F99*AN99</f>
        <v>0</v>
      </c>
      <c r="AW99" s="79" t="s">
        <v>319</v>
      </c>
      <c r="AX99" s="79" t="s">
        <v>320</v>
      </c>
      <c r="AY99" s="71" t="s">
        <v>137</v>
      </c>
      <c r="BA99" s="77">
        <f>AU99+AV99</f>
        <v>0</v>
      </c>
      <c r="BB99" s="77">
        <f>G99/(100-BC99)*100</f>
        <v>0</v>
      </c>
      <c r="BC99" s="77">
        <v>0</v>
      </c>
      <c r="BD99" s="77">
        <f>L99</f>
        <v>3.5E-4</v>
      </c>
      <c r="BF99" s="77">
        <f>F99*AM99</f>
        <v>0</v>
      </c>
      <c r="BG99" s="77">
        <f>F99*AN99</f>
        <v>0</v>
      </c>
      <c r="BH99" s="77">
        <f>F99*G99</f>
        <v>0</v>
      </c>
      <c r="BI99" s="77"/>
      <c r="BJ99" s="77">
        <v>87</v>
      </c>
      <c r="BU99" s="77" t="e">
        <f>#REF!</f>
        <v>#REF!</v>
      </c>
      <c r="BV99" s="70" t="s">
        <v>324</v>
      </c>
    </row>
    <row r="100" spans="1:74" ht="54" customHeight="1" x14ac:dyDescent="0.25">
      <c r="A100" s="104"/>
      <c r="B100" s="81" t="s">
        <v>138</v>
      </c>
      <c r="C100" s="303" t="s">
        <v>326</v>
      </c>
      <c r="D100" s="304"/>
      <c r="E100" s="304"/>
      <c r="F100" s="304"/>
      <c r="G100" s="304"/>
      <c r="H100" s="304"/>
      <c r="I100" s="304"/>
      <c r="J100" s="304"/>
      <c r="K100" s="304"/>
      <c r="L100" s="304"/>
      <c r="M100" s="305"/>
    </row>
    <row r="101" spans="1:74" x14ac:dyDescent="0.25">
      <c r="A101" s="92" t="s">
        <v>327</v>
      </c>
      <c r="B101" s="69" t="s">
        <v>328</v>
      </c>
      <c r="C101" s="306" t="s">
        <v>329</v>
      </c>
      <c r="D101" s="307"/>
      <c r="E101" s="69" t="s">
        <v>325</v>
      </c>
      <c r="F101" s="77">
        <v>14</v>
      </c>
      <c r="G101" s="218">
        <v>0</v>
      </c>
      <c r="H101" s="77">
        <f>F101*AM101</f>
        <v>0</v>
      </c>
      <c r="I101" s="77">
        <f>F101*AN101</f>
        <v>0</v>
      </c>
      <c r="J101" s="77">
        <f>F101*G101</f>
        <v>0</v>
      </c>
      <c r="K101" s="77">
        <v>3.0000000000000001E-5</v>
      </c>
      <c r="L101" s="77">
        <f>F101*K101</f>
        <v>4.2000000000000002E-4</v>
      </c>
      <c r="M101" s="103" t="s">
        <v>35</v>
      </c>
      <c r="X101" s="77">
        <f>IF(AO101="5",BH101,0)</f>
        <v>0</v>
      </c>
      <c r="Z101" s="77">
        <f>IF(AO101="1",BF101,0)</f>
        <v>0</v>
      </c>
      <c r="AA101" s="77">
        <f>IF(AO101="1",BG101,0)</f>
        <v>0</v>
      </c>
      <c r="AB101" s="77">
        <f>IF(AO101="7",BF101,0)</f>
        <v>0</v>
      </c>
      <c r="AC101" s="77">
        <f>IF(AO101="7",BG101,0)</f>
        <v>0</v>
      </c>
      <c r="AD101" s="77">
        <f>IF(AO101="2",BF101,0)</f>
        <v>0</v>
      </c>
      <c r="AE101" s="77">
        <f>IF(AO101="2",BG101,0)</f>
        <v>0</v>
      </c>
      <c r="AF101" s="77">
        <f>IF(AO101="0",BH101,0)</f>
        <v>0</v>
      </c>
      <c r="AG101" s="71" t="s">
        <v>129</v>
      </c>
      <c r="AH101" s="77">
        <f>IF(AL101=0,J101,0)</f>
        <v>0</v>
      </c>
      <c r="AI101" s="77">
        <f>IF(AL101=15,J101,0)</f>
        <v>0</v>
      </c>
      <c r="AJ101" s="77">
        <f>IF(AL101=21,J101,0)</f>
        <v>0</v>
      </c>
      <c r="AL101" s="77">
        <v>15</v>
      </c>
      <c r="AM101" s="77">
        <f>G101*0.01013245</f>
        <v>0</v>
      </c>
      <c r="AN101" s="77">
        <f>G101*(1-0.01013245)</f>
        <v>0</v>
      </c>
      <c r="AO101" s="79" t="s">
        <v>132</v>
      </c>
      <c r="AT101" s="77">
        <f>AU101+AV101</f>
        <v>0</v>
      </c>
      <c r="AU101" s="77">
        <f>F101*AM101</f>
        <v>0</v>
      </c>
      <c r="AV101" s="77">
        <f>F101*AN101</f>
        <v>0</v>
      </c>
      <c r="AW101" s="79" t="s">
        <v>319</v>
      </c>
      <c r="AX101" s="79" t="s">
        <v>320</v>
      </c>
      <c r="AY101" s="71" t="s">
        <v>137</v>
      </c>
      <c r="BA101" s="77">
        <f>AU101+AV101</f>
        <v>0</v>
      </c>
      <c r="BB101" s="77">
        <f>G101/(100-BC101)*100</f>
        <v>0</v>
      </c>
      <c r="BC101" s="77">
        <v>0</v>
      </c>
      <c r="BD101" s="77">
        <f>L101</f>
        <v>4.2000000000000002E-4</v>
      </c>
      <c r="BF101" s="77">
        <f>F101*AM101</f>
        <v>0</v>
      </c>
      <c r="BG101" s="77">
        <f>F101*AN101</f>
        <v>0</v>
      </c>
      <c r="BH101" s="77">
        <f>F101*G101</f>
        <v>0</v>
      </c>
      <c r="BI101" s="77"/>
      <c r="BJ101" s="77">
        <v>87</v>
      </c>
      <c r="BU101" s="77" t="e">
        <f>#REF!</f>
        <v>#REF!</v>
      </c>
      <c r="BV101" s="70" t="s">
        <v>329</v>
      </c>
    </row>
    <row r="102" spans="1:74" ht="40.5" customHeight="1" x14ac:dyDescent="0.25">
      <c r="A102" s="104"/>
      <c r="B102" s="81" t="s">
        <v>138</v>
      </c>
      <c r="C102" s="303" t="s">
        <v>330</v>
      </c>
      <c r="D102" s="304"/>
      <c r="E102" s="304"/>
      <c r="F102" s="304"/>
      <c r="G102" s="304"/>
      <c r="H102" s="304"/>
      <c r="I102" s="304"/>
      <c r="J102" s="304"/>
      <c r="K102" s="304"/>
      <c r="L102" s="304"/>
      <c r="M102" s="305"/>
    </row>
    <row r="103" spans="1:74" x14ac:dyDescent="0.25">
      <c r="A103" s="92" t="s">
        <v>331</v>
      </c>
      <c r="B103" s="69" t="s">
        <v>332</v>
      </c>
      <c r="C103" s="306" t="s">
        <v>333</v>
      </c>
      <c r="D103" s="307"/>
      <c r="E103" s="69" t="s">
        <v>325</v>
      </c>
      <c r="F103" s="77">
        <v>8</v>
      </c>
      <c r="G103" s="218">
        <v>0</v>
      </c>
      <c r="H103" s="77">
        <f>F103*AM103</f>
        <v>0</v>
      </c>
      <c r="I103" s="77">
        <f>F103*AN103</f>
        <v>0</v>
      </c>
      <c r="J103" s="77">
        <f>F103*G103</f>
        <v>0</v>
      </c>
      <c r="K103" s="77">
        <v>6.9999999999999994E-5</v>
      </c>
      <c r="L103" s="77">
        <f>F103*K103</f>
        <v>5.5999999999999995E-4</v>
      </c>
      <c r="M103" s="103" t="s">
        <v>35</v>
      </c>
      <c r="X103" s="77">
        <f>IF(AO103="5",BH103,0)</f>
        <v>0</v>
      </c>
      <c r="Z103" s="77">
        <f>IF(AO103="1",BF103,0)</f>
        <v>0</v>
      </c>
      <c r="AA103" s="77">
        <f>IF(AO103="1",BG103,0)</f>
        <v>0</v>
      </c>
      <c r="AB103" s="77">
        <f>IF(AO103="7",BF103,0)</f>
        <v>0</v>
      </c>
      <c r="AC103" s="77">
        <f>IF(AO103="7",BG103,0)</f>
        <v>0</v>
      </c>
      <c r="AD103" s="77">
        <f>IF(AO103="2",BF103,0)</f>
        <v>0</v>
      </c>
      <c r="AE103" s="77">
        <f>IF(AO103="2",BG103,0)</f>
        <v>0</v>
      </c>
      <c r="AF103" s="77">
        <f>IF(AO103="0",BH103,0)</f>
        <v>0</v>
      </c>
      <c r="AG103" s="71" t="s">
        <v>129</v>
      </c>
      <c r="AH103" s="77">
        <f>IF(AL103=0,J103,0)</f>
        <v>0</v>
      </c>
      <c r="AI103" s="77">
        <f>IF(AL103=15,J103,0)</f>
        <v>0</v>
      </c>
      <c r="AJ103" s="77">
        <f>IF(AL103=21,J103,0)</f>
        <v>0</v>
      </c>
      <c r="AL103" s="77">
        <v>15</v>
      </c>
      <c r="AM103" s="77">
        <f>G103*0.011628788</f>
        <v>0</v>
      </c>
      <c r="AN103" s="77">
        <f>G103*(1-0.011628788)</f>
        <v>0</v>
      </c>
      <c r="AO103" s="79" t="s">
        <v>132</v>
      </c>
      <c r="AT103" s="77">
        <f>AU103+AV103</f>
        <v>0</v>
      </c>
      <c r="AU103" s="77">
        <f>F103*AM103</f>
        <v>0</v>
      </c>
      <c r="AV103" s="77">
        <f>F103*AN103</f>
        <v>0</v>
      </c>
      <c r="AW103" s="79" t="s">
        <v>319</v>
      </c>
      <c r="AX103" s="79" t="s">
        <v>320</v>
      </c>
      <c r="AY103" s="71" t="s">
        <v>137</v>
      </c>
      <c r="BA103" s="77">
        <f>AU103+AV103</f>
        <v>0</v>
      </c>
      <c r="BB103" s="77">
        <f>G103/(100-BC103)*100</f>
        <v>0</v>
      </c>
      <c r="BC103" s="77">
        <v>0</v>
      </c>
      <c r="BD103" s="77">
        <f>L103</f>
        <v>5.5999999999999995E-4</v>
      </c>
      <c r="BF103" s="77">
        <f>F103*AM103</f>
        <v>0</v>
      </c>
      <c r="BG103" s="77">
        <f>F103*AN103</f>
        <v>0</v>
      </c>
      <c r="BH103" s="77">
        <f>F103*G103</f>
        <v>0</v>
      </c>
      <c r="BI103" s="77"/>
      <c r="BJ103" s="77">
        <v>87</v>
      </c>
      <c r="BU103" s="77" t="e">
        <f>#REF!</f>
        <v>#REF!</v>
      </c>
      <c r="BV103" s="70" t="s">
        <v>333</v>
      </c>
    </row>
    <row r="104" spans="1:74" ht="40.5" customHeight="1" x14ac:dyDescent="0.25">
      <c r="A104" s="104"/>
      <c r="B104" s="81" t="s">
        <v>138</v>
      </c>
      <c r="C104" s="303" t="s">
        <v>334</v>
      </c>
      <c r="D104" s="304"/>
      <c r="E104" s="304"/>
      <c r="F104" s="304"/>
      <c r="G104" s="304"/>
      <c r="H104" s="304"/>
      <c r="I104" s="304"/>
      <c r="J104" s="304"/>
      <c r="K104" s="304"/>
      <c r="L104" s="304"/>
      <c r="M104" s="305"/>
    </row>
    <row r="105" spans="1:74" x14ac:dyDescent="0.25">
      <c r="A105" s="105" t="s">
        <v>129</v>
      </c>
      <c r="B105" s="74" t="s">
        <v>335</v>
      </c>
      <c r="C105" s="314" t="s">
        <v>336</v>
      </c>
      <c r="D105" s="315"/>
      <c r="E105" s="75" t="s">
        <v>87</v>
      </c>
      <c r="F105" s="75" t="s">
        <v>87</v>
      </c>
      <c r="G105" s="75" t="s">
        <v>87</v>
      </c>
      <c r="H105" s="67">
        <f>SUM(H106:H124)</f>
        <v>0</v>
      </c>
      <c r="I105" s="67">
        <f>SUM(I106:I124)</f>
        <v>0</v>
      </c>
      <c r="J105" s="67">
        <f>SUM(J106:J124)</f>
        <v>0</v>
      </c>
      <c r="K105" s="71" t="s">
        <v>129</v>
      </c>
      <c r="L105" s="67">
        <f>SUM(L106:L124)</f>
        <v>3.6330000000000001E-2</v>
      </c>
      <c r="M105" s="106" t="s">
        <v>129</v>
      </c>
      <c r="AG105" s="71" t="s">
        <v>129</v>
      </c>
      <c r="AQ105" s="67">
        <f>SUM(AH106:AH124)</f>
        <v>0</v>
      </c>
      <c r="AR105" s="67">
        <f>SUM(AI106:AI124)</f>
        <v>0</v>
      </c>
      <c r="AS105" s="67">
        <f>SUM(AJ106:AJ124)</f>
        <v>0</v>
      </c>
    </row>
    <row r="106" spans="1:74" x14ac:dyDescent="0.25">
      <c r="A106" s="92" t="s">
        <v>337</v>
      </c>
      <c r="B106" s="69" t="s">
        <v>338</v>
      </c>
      <c r="C106" s="306" t="s">
        <v>339</v>
      </c>
      <c r="D106" s="307"/>
      <c r="E106" s="69" t="s">
        <v>325</v>
      </c>
      <c r="F106" s="77">
        <v>3</v>
      </c>
      <c r="G106" s="218">
        <v>0</v>
      </c>
      <c r="H106" s="77">
        <f>F106*AM106</f>
        <v>0</v>
      </c>
      <c r="I106" s="77">
        <f>F106*AN106</f>
        <v>0</v>
      </c>
      <c r="J106" s="77">
        <f>F106*G106</f>
        <v>0</v>
      </c>
      <c r="K106" s="77">
        <v>0</v>
      </c>
      <c r="L106" s="77">
        <f>F106*K106</f>
        <v>0</v>
      </c>
      <c r="M106" s="103" t="s">
        <v>35</v>
      </c>
      <c r="X106" s="77">
        <f>IF(AO106="5",BH106,0)</f>
        <v>0</v>
      </c>
      <c r="Z106" s="77">
        <f>IF(AO106="1",BF106,0)</f>
        <v>0</v>
      </c>
      <c r="AA106" s="77">
        <f>IF(AO106="1",BG106,0)</f>
        <v>0</v>
      </c>
      <c r="AB106" s="77">
        <f>IF(AO106="7",BF106,0)</f>
        <v>0</v>
      </c>
      <c r="AC106" s="77">
        <f>IF(AO106="7",BG106,0)</f>
        <v>0</v>
      </c>
      <c r="AD106" s="77">
        <f>IF(AO106="2",BF106,0)</f>
        <v>0</v>
      </c>
      <c r="AE106" s="77">
        <f>IF(AO106="2",BG106,0)</f>
        <v>0</v>
      </c>
      <c r="AF106" s="77">
        <f>IF(AO106="0",BH106,0)</f>
        <v>0</v>
      </c>
      <c r="AG106" s="71" t="s">
        <v>129</v>
      </c>
      <c r="AH106" s="77">
        <f>IF(AL106=0,J106,0)</f>
        <v>0</v>
      </c>
      <c r="AI106" s="77">
        <f>IF(AL106=15,J106,0)</f>
        <v>0</v>
      </c>
      <c r="AJ106" s="77">
        <f>IF(AL106=21,J106,0)</f>
        <v>0</v>
      </c>
      <c r="AL106" s="77">
        <v>15</v>
      </c>
      <c r="AM106" s="77">
        <f>G106*0</f>
        <v>0</v>
      </c>
      <c r="AN106" s="77">
        <f>G106*(1-0)</f>
        <v>0</v>
      </c>
      <c r="AO106" s="79" t="s">
        <v>132</v>
      </c>
      <c r="AT106" s="77">
        <f>AU106+AV106</f>
        <v>0</v>
      </c>
      <c r="AU106" s="77">
        <f>F106*AM106</f>
        <v>0</v>
      </c>
      <c r="AV106" s="77">
        <f>F106*AN106</f>
        <v>0</v>
      </c>
      <c r="AW106" s="79" t="s">
        <v>340</v>
      </c>
      <c r="AX106" s="79" t="s">
        <v>320</v>
      </c>
      <c r="AY106" s="71" t="s">
        <v>137</v>
      </c>
      <c r="BA106" s="77">
        <f>AU106+AV106</f>
        <v>0</v>
      </c>
      <c r="BB106" s="77">
        <f>G106/(100-BC106)*100</f>
        <v>0</v>
      </c>
      <c r="BC106" s="77">
        <v>0</v>
      </c>
      <c r="BD106" s="77">
        <f>L106</f>
        <v>0</v>
      </c>
      <c r="BF106" s="77">
        <f>F106*AM106</f>
        <v>0</v>
      </c>
      <c r="BG106" s="77">
        <f>F106*AN106</f>
        <v>0</v>
      </c>
      <c r="BH106" s="77">
        <f>F106*G106</f>
        <v>0</v>
      </c>
      <c r="BI106" s="77"/>
      <c r="BJ106" s="77">
        <v>89</v>
      </c>
      <c r="BU106" s="77" t="e">
        <f>#REF!</f>
        <v>#REF!</v>
      </c>
      <c r="BV106" s="70" t="s">
        <v>339</v>
      </c>
    </row>
    <row r="107" spans="1:74" ht="13.5" customHeight="1" x14ac:dyDescent="0.25">
      <c r="A107" s="104"/>
      <c r="B107" s="81" t="s">
        <v>138</v>
      </c>
      <c r="C107" s="303" t="s">
        <v>341</v>
      </c>
      <c r="D107" s="304"/>
      <c r="E107" s="304"/>
      <c r="F107" s="304"/>
      <c r="G107" s="304"/>
      <c r="H107" s="304"/>
      <c r="I107" s="304"/>
      <c r="J107" s="304"/>
      <c r="K107" s="304"/>
      <c r="L107" s="304"/>
      <c r="M107" s="305"/>
    </row>
    <row r="108" spans="1:74" x14ac:dyDescent="0.25">
      <c r="A108" s="92" t="s">
        <v>342</v>
      </c>
      <c r="B108" s="69" t="s">
        <v>343</v>
      </c>
      <c r="C108" s="306" t="s">
        <v>344</v>
      </c>
      <c r="D108" s="307"/>
      <c r="E108" s="69" t="s">
        <v>325</v>
      </c>
      <c r="F108" s="77">
        <v>3</v>
      </c>
      <c r="G108" s="218">
        <v>0</v>
      </c>
      <c r="H108" s="77">
        <f>F108*AM108</f>
        <v>0</v>
      </c>
      <c r="I108" s="77">
        <f>F108*AN108</f>
        <v>0</v>
      </c>
      <c r="J108" s="77">
        <f>F108*G108</f>
        <v>0</v>
      </c>
      <c r="K108" s="77">
        <v>0</v>
      </c>
      <c r="L108" s="77">
        <f>F108*K108</f>
        <v>0</v>
      </c>
      <c r="M108" s="103" t="s">
        <v>35</v>
      </c>
      <c r="X108" s="77">
        <f>IF(AO108="5",BH108,0)</f>
        <v>0</v>
      </c>
      <c r="Z108" s="77">
        <f>IF(AO108="1",BF108,0)</f>
        <v>0</v>
      </c>
      <c r="AA108" s="77">
        <f>IF(AO108="1",BG108,0)</f>
        <v>0</v>
      </c>
      <c r="AB108" s="77">
        <f>IF(AO108="7",BF108,0)</f>
        <v>0</v>
      </c>
      <c r="AC108" s="77">
        <f>IF(AO108="7",BG108,0)</f>
        <v>0</v>
      </c>
      <c r="AD108" s="77">
        <f>IF(AO108="2",BF108,0)</f>
        <v>0</v>
      </c>
      <c r="AE108" s="77">
        <f>IF(AO108="2",BG108,0)</f>
        <v>0</v>
      </c>
      <c r="AF108" s="77">
        <f>IF(AO108="0",BH108,0)</f>
        <v>0</v>
      </c>
      <c r="AG108" s="71" t="s">
        <v>129</v>
      </c>
      <c r="AH108" s="77">
        <f>IF(AL108=0,J108,0)</f>
        <v>0</v>
      </c>
      <c r="AI108" s="77">
        <f>IF(AL108=15,J108,0)</f>
        <v>0</v>
      </c>
      <c r="AJ108" s="77">
        <f>IF(AL108=21,J108,0)</f>
        <v>0</v>
      </c>
      <c r="AL108" s="77">
        <v>15</v>
      </c>
      <c r="AM108" s="77">
        <f>G108*0</f>
        <v>0</v>
      </c>
      <c r="AN108" s="77">
        <f>G108*(1-0)</f>
        <v>0</v>
      </c>
      <c r="AO108" s="79" t="s">
        <v>132</v>
      </c>
      <c r="AT108" s="77">
        <f>AU108+AV108</f>
        <v>0</v>
      </c>
      <c r="AU108" s="77">
        <f>F108*AM108</f>
        <v>0</v>
      </c>
      <c r="AV108" s="77">
        <f>F108*AN108</f>
        <v>0</v>
      </c>
      <c r="AW108" s="79" t="s">
        <v>340</v>
      </c>
      <c r="AX108" s="79" t="s">
        <v>320</v>
      </c>
      <c r="AY108" s="71" t="s">
        <v>137</v>
      </c>
      <c r="BA108" s="77">
        <f>AU108+AV108</f>
        <v>0</v>
      </c>
      <c r="BB108" s="77">
        <f>G108/(100-BC108)*100</f>
        <v>0</v>
      </c>
      <c r="BC108" s="77">
        <v>0</v>
      </c>
      <c r="BD108" s="77">
        <f>L108</f>
        <v>0</v>
      </c>
      <c r="BF108" s="77">
        <f>F108*AM108</f>
        <v>0</v>
      </c>
      <c r="BG108" s="77">
        <f>F108*AN108</f>
        <v>0</v>
      </c>
      <c r="BH108" s="77">
        <f>F108*G108</f>
        <v>0</v>
      </c>
      <c r="BI108" s="77"/>
      <c r="BJ108" s="77">
        <v>89</v>
      </c>
      <c r="BU108" s="77" t="e">
        <f>#REF!</f>
        <v>#REF!</v>
      </c>
      <c r="BV108" s="70" t="s">
        <v>344</v>
      </c>
    </row>
    <row r="109" spans="1:74" ht="13.5" customHeight="1" x14ac:dyDescent="0.25">
      <c r="A109" s="104"/>
      <c r="B109" s="81" t="s">
        <v>138</v>
      </c>
      <c r="C109" s="303" t="s">
        <v>345</v>
      </c>
      <c r="D109" s="304"/>
      <c r="E109" s="304"/>
      <c r="F109" s="304"/>
      <c r="G109" s="304"/>
      <c r="H109" s="304"/>
      <c r="I109" s="304"/>
      <c r="J109" s="304"/>
      <c r="K109" s="304"/>
      <c r="L109" s="304"/>
      <c r="M109" s="305"/>
    </row>
    <row r="110" spans="1:74" x14ac:dyDescent="0.25">
      <c r="A110" s="92" t="s">
        <v>346</v>
      </c>
      <c r="B110" s="69" t="s">
        <v>347</v>
      </c>
      <c r="C110" s="306" t="s">
        <v>348</v>
      </c>
      <c r="D110" s="307"/>
      <c r="E110" s="69" t="s">
        <v>325</v>
      </c>
      <c r="F110" s="77">
        <v>3</v>
      </c>
      <c r="G110" s="218">
        <v>0</v>
      </c>
      <c r="H110" s="77">
        <f>F110*AM110</f>
        <v>0</v>
      </c>
      <c r="I110" s="77">
        <f>F110*AN110</f>
        <v>0</v>
      </c>
      <c r="J110" s="77">
        <f>F110*G110</f>
        <v>0</v>
      </c>
      <c r="K110" s="77">
        <v>0</v>
      </c>
      <c r="L110" s="77">
        <f>F110*K110</f>
        <v>0</v>
      </c>
      <c r="M110" s="103" t="s">
        <v>35</v>
      </c>
      <c r="X110" s="77">
        <f>IF(AO110="5",BH110,0)</f>
        <v>0</v>
      </c>
      <c r="Z110" s="77">
        <f>IF(AO110="1",BF110,0)</f>
        <v>0</v>
      </c>
      <c r="AA110" s="77">
        <f>IF(AO110="1",BG110,0)</f>
        <v>0</v>
      </c>
      <c r="AB110" s="77">
        <f>IF(AO110="7",BF110,0)</f>
        <v>0</v>
      </c>
      <c r="AC110" s="77">
        <f>IF(AO110="7",BG110,0)</f>
        <v>0</v>
      </c>
      <c r="AD110" s="77">
        <f>IF(AO110="2",BF110,0)</f>
        <v>0</v>
      </c>
      <c r="AE110" s="77">
        <f>IF(AO110="2",BG110,0)</f>
        <v>0</v>
      </c>
      <c r="AF110" s="77">
        <f>IF(AO110="0",BH110,0)</f>
        <v>0</v>
      </c>
      <c r="AG110" s="71" t="s">
        <v>129</v>
      </c>
      <c r="AH110" s="77">
        <f>IF(AL110=0,J110,0)</f>
        <v>0</v>
      </c>
      <c r="AI110" s="77">
        <f>IF(AL110=15,J110,0)</f>
        <v>0</v>
      </c>
      <c r="AJ110" s="77">
        <f>IF(AL110=21,J110,0)</f>
        <v>0</v>
      </c>
      <c r="AL110" s="77">
        <v>15</v>
      </c>
      <c r="AM110" s="77">
        <f>G110*0</f>
        <v>0</v>
      </c>
      <c r="AN110" s="77">
        <f>G110*(1-0)</f>
        <v>0</v>
      </c>
      <c r="AO110" s="79" t="s">
        <v>132</v>
      </c>
      <c r="AT110" s="77">
        <f>AU110+AV110</f>
        <v>0</v>
      </c>
      <c r="AU110" s="77">
        <f>F110*AM110</f>
        <v>0</v>
      </c>
      <c r="AV110" s="77">
        <f>F110*AN110</f>
        <v>0</v>
      </c>
      <c r="AW110" s="79" t="s">
        <v>340</v>
      </c>
      <c r="AX110" s="79" t="s">
        <v>320</v>
      </c>
      <c r="AY110" s="71" t="s">
        <v>137</v>
      </c>
      <c r="BA110" s="77">
        <f>AU110+AV110</f>
        <v>0</v>
      </c>
      <c r="BB110" s="77">
        <f>G110/(100-BC110)*100</f>
        <v>0</v>
      </c>
      <c r="BC110" s="77">
        <v>0</v>
      </c>
      <c r="BD110" s="77">
        <f>L110</f>
        <v>0</v>
      </c>
      <c r="BF110" s="77">
        <f>F110*AM110</f>
        <v>0</v>
      </c>
      <c r="BG110" s="77">
        <f>F110*AN110</f>
        <v>0</v>
      </c>
      <c r="BH110" s="77">
        <f>F110*G110</f>
        <v>0</v>
      </c>
      <c r="BI110" s="77"/>
      <c r="BJ110" s="77">
        <v>89</v>
      </c>
      <c r="BU110" s="77" t="e">
        <f>#REF!</f>
        <v>#REF!</v>
      </c>
      <c r="BV110" s="70" t="s">
        <v>348</v>
      </c>
    </row>
    <row r="111" spans="1:74" ht="13.5" customHeight="1" x14ac:dyDescent="0.25">
      <c r="A111" s="104"/>
      <c r="B111" s="81" t="s">
        <v>138</v>
      </c>
      <c r="C111" s="303" t="s">
        <v>349</v>
      </c>
      <c r="D111" s="304"/>
      <c r="E111" s="304"/>
      <c r="F111" s="304"/>
      <c r="G111" s="304"/>
      <c r="H111" s="304"/>
      <c r="I111" s="304"/>
      <c r="J111" s="304"/>
      <c r="K111" s="304"/>
      <c r="L111" s="304"/>
      <c r="M111" s="305"/>
    </row>
    <row r="112" spans="1:74" x14ac:dyDescent="0.25">
      <c r="A112" s="92" t="s">
        <v>288</v>
      </c>
      <c r="B112" s="69" t="s">
        <v>350</v>
      </c>
      <c r="C112" s="306" t="s">
        <v>351</v>
      </c>
      <c r="D112" s="307"/>
      <c r="E112" s="69" t="s">
        <v>325</v>
      </c>
      <c r="F112" s="77">
        <v>6</v>
      </c>
      <c r="G112" s="218">
        <v>0</v>
      </c>
      <c r="H112" s="77">
        <f>F112*AM112</f>
        <v>0</v>
      </c>
      <c r="I112" s="77">
        <f>F112*AN112</f>
        <v>0</v>
      </c>
      <c r="J112" s="77">
        <f>F112*G112</f>
        <v>0</v>
      </c>
      <c r="K112" s="77">
        <v>0</v>
      </c>
      <c r="L112" s="77">
        <f>F112*K112</f>
        <v>0</v>
      </c>
      <c r="M112" s="103" t="s">
        <v>35</v>
      </c>
      <c r="X112" s="77">
        <f>IF(AO112="5",BH112,0)</f>
        <v>0</v>
      </c>
      <c r="Z112" s="77">
        <f>IF(AO112="1",BF112,0)</f>
        <v>0</v>
      </c>
      <c r="AA112" s="77">
        <f>IF(AO112="1",BG112,0)</f>
        <v>0</v>
      </c>
      <c r="AB112" s="77">
        <f>IF(AO112="7",BF112,0)</f>
        <v>0</v>
      </c>
      <c r="AC112" s="77">
        <f>IF(AO112="7",BG112,0)</f>
        <v>0</v>
      </c>
      <c r="AD112" s="77">
        <f>IF(AO112="2",BF112,0)</f>
        <v>0</v>
      </c>
      <c r="AE112" s="77">
        <f>IF(AO112="2",BG112,0)</f>
        <v>0</v>
      </c>
      <c r="AF112" s="77">
        <f>IF(AO112="0",BH112,0)</f>
        <v>0</v>
      </c>
      <c r="AG112" s="71" t="s">
        <v>129</v>
      </c>
      <c r="AH112" s="77">
        <f>IF(AL112=0,J112,0)</f>
        <v>0</v>
      </c>
      <c r="AI112" s="77">
        <f>IF(AL112=15,J112,0)</f>
        <v>0</v>
      </c>
      <c r="AJ112" s="77">
        <f>IF(AL112=21,J112,0)</f>
        <v>0</v>
      </c>
      <c r="AL112" s="77">
        <v>15</v>
      </c>
      <c r="AM112" s="77">
        <f>G112*0</f>
        <v>0</v>
      </c>
      <c r="AN112" s="77">
        <f>G112*(1-0)</f>
        <v>0</v>
      </c>
      <c r="AO112" s="79" t="s">
        <v>132</v>
      </c>
      <c r="AT112" s="77">
        <f>AU112+AV112</f>
        <v>0</v>
      </c>
      <c r="AU112" s="77">
        <f>F112*AM112</f>
        <v>0</v>
      </c>
      <c r="AV112" s="77">
        <f>F112*AN112</f>
        <v>0</v>
      </c>
      <c r="AW112" s="79" t="s">
        <v>340</v>
      </c>
      <c r="AX112" s="79" t="s">
        <v>320</v>
      </c>
      <c r="AY112" s="71" t="s">
        <v>137</v>
      </c>
      <c r="BA112" s="77">
        <f>AU112+AV112</f>
        <v>0</v>
      </c>
      <c r="BB112" s="77">
        <f>G112/(100-BC112)*100</f>
        <v>0</v>
      </c>
      <c r="BC112" s="77">
        <v>0</v>
      </c>
      <c r="BD112" s="77">
        <f>L112</f>
        <v>0</v>
      </c>
      <c r="BF112" s="77">
        <f>F112*AM112</f>
        <v>0</v>
      </c>
      <c r="BG112" s="77">
        <f>F112*AN112</f>
        <v>0</v>
      </c>
      <c r="BH112" s="77">
        <f>F112*G112</f>
        <v>0</v>
      </c>
      <c r="BI112" s="77"/>
      <c r="BJ112" s="77">
        <v>89</v>
      </c>
      <c r="BU112" s="77" t="e">
        <f>#REF!</f>
        <v>#REF!</v>
      </c>
      <c r="BV112" s="70" t="s">
        <v>351</v>
      </c>
    </row>
    <row r="113" spans="1:74" ht="13.5" customHeight="1" x14ac:dyDescent="0.25">
      <c r="A113" s="104"/>
      <c r="B113" s="81" t="s">
        <v>138</v>
      </c>
      <c r="C113" s="303" t="s">
        <v>352</v>
      </c>
      <c r="D113" s="304"/>
      <c r="E113" s="304"/>
      <c r="F113" s="304"/>
      <c r="G113" s="304"/>
      <c r="H113" s="304"/>
      <c r="I113" s="304"/>
      <c r="J113" s="304"/>
      <c r="K113" s="304"/>
      <c r="L113" s="304"/>
      <c r="M113" s="305"/>
    </row>
    <row r="114" spans="1:74" x14ac:dyDescent="0.25">
      <c r="A114" s="92" t="s">
        <v>353</v>
      </c>
      <c r="B114" s="69" t="s">
        <v>354</v>
      </c>
      <c r="C114" s="306" t="s">
        <v>355</v>
      </c>
      <c r="D114" s="307"/>
      <c r="E114" s="69" t="s">
        <v>325</v>
      </c>
      <c r="F114" s="77">
        <v>3</v>
      </c>
      <c r="G114" s="218">
        <v>0</v>
      </c>
      <c r="H114" s="77">
        <f>F114*AM114</f>
        <v>0</v>
      </c>
      <c r="I114" s="77">
        <f>F114*AN114</f>
        <v>0</v>
      </c>
      <c r="J114" s="77">
        <f>F114*G114</f>
        <v>0</v>
      </c>
      <c r="K114" s="77">
        <v>1.17E-2</v>
      </c>
      <c r="L114" s="77">
        <f>F114*K114</f>
        <v>3.5099999999999999E-2</v>
      </c>
      <c r="M114" s="103" t="s">
        <v>35</v>
      </c>
      <c r="X114" s="77">
        <f>IF(AO114="5",BH114,0)</f>
        <v>0</v>
      </c>
      <c r="Z114" s="77">
        <f>IF(AO114="1",BF114,0)</f>
        <v>0</v>
      </c>
      <c r="AA114" s="77">
        <f>IF(AO114="1",BG114,0)</f>
        <v>0</v>
      </c>
      <c r="AB114" s="77">
        <f>IF(AO114="7",BF114,0)</f>
        <v>0</v>
      </c>
      <c r="AC114" s="77">
        <f>IF(AO114="7",BG114,0)</f>
        <v>0</v>
      </c>
      <c r="AD114" s="77">
        <f>IF(AO114="2",BF114,0)</f>
        <v>0</v>
      </c>
      <c r="AE114" s="77">
        <f>IF(AO114="2",BG114,0)</f>
        <v>0</v>
      </c>
      <c r="AF114" s="77">
        <f>IF(AO114="0",BH114,0)</f>
        <v>0</v>
      </c>
      <c r="AG114" s="71" t="s">
        <v>129</v>
      </c>
      <c r="AH114" s="77">
        <f>IF(AL114=0,J114,0)</f>
        <v>0</v>
      </c>
      <c r="AI114" s="77">
        <f>IF(AL114=15,J114,0)</f>
        <v>0</v>
      </c>
      <c r="AJ114" s="77">
        <f>IF(AL114=21,J114,0)</f>
        <v>0</v>
      </c>
      <c r="AL114" s="77">
        <v>15</v>
      </c>
      <c r="AM114" s="77">
        <f>G114*0.016176471</f>
        <v>0</v>
      </c>
      <c r="AN114" s="77">
        <f>G114*(1-0.016176471)</f>
        <v>0</v>
      </c>
      <c r="AO114" s="79" t="s">
        <v>132</v>
      </c>
      <c r="AT114" s="77">
        <f>AU114+AV114</f>
        <v>0</v>
      </c>
      <c r="AU114" s="77">
        <f>F114*AM114</f>
        <v>0</v>
      </c>
      <c r="AV114" s="77">
        <f>F114*AN114</f>
        <v>0</v>
      </c>
      <c r="AW114" s="79" t="s">
        <v>340</v>
      </c>
      <c r="AX114" s="79" t="s">
        <v>320</v>
      </c>
      <c r="AY114" s="71" t="s">
        <v>137</v>
      </c>
      <c r="BA114" s="77">
        <f>AU114+AV114</f>
        <v>0</v>
      </c>
      <c r="BB114" s="77">
        <f>G114/(100-BC114)*100</f>
        <v>0</v>
      </c>
      <c r="BC114" s="77">
        <v>0</v>
      </c>
      <c r="BD114" s="77">
        <f>L114</f>
        <v>3.5099999999999999E-2</v>
      </c>
      <c r="BF114" s="77">
        <f>F114*AM114</f>
        <v>0</v>
      </c>
      <c r="BG114" s="77">
        <f>F114*AN114</f>
        <v>0</v>
      </c>
      <c r="BH114" s="77">
        <f>F114*G114</f>
        <v>0</v>
      </c>
      <c r="BI114" s="77"/>
      <c r="BJ114" s="77">
        <v>89</v>
      </c>
      <c r="BU114" s="77" t="e">
        <f>#REF!</f>
        <v>#REF!</v>
      </c>
      <c r="BV114" s="70" t="s">
        <v>355</v>
      </c>
    </row>
    <row r="115" spans="1:74" ht="13.5" customHeight="1" x14ac:dyDescent="0.25">
      <c r="A115" s="104"/>
      <c r="B115" s="81" t="s">
        <v>138</v>
      </c>
      <c r="C115" s="303" t="s">
        <v>356</v>
      </c>
      <c r="D115" s="304"/>
      <c r="E115" s="304"/>
      <c r="F115" s="304"/>
      <c r="G115" s="304"/>
      <c r="H115" s="304"/>
      <c r="I115" s="304"/>
      <c r="J115" s="304"/>
      <c r="K115" s="304"/>
      <c r="L115" s="304"/>
      <c r="M115" s="305"/>
    </row>
    <row r="116" spans="1:74" x14ac:dyDescent="0.25">
      <c r="A116" s="92" t="s">
        <v>357</v>
      </c>
      <c r="B116" s="69" t="s">
        <v>358</v>
      </c>
      <c r="C116" s="306" t="s">
        <v>359</v>
      </c>
      <c r="D116" s="307"/>
      <c r="E116" s="69" t="s">
        <v>145</v>
      </c>
      <c r="F116" s="77">
        <v>79.5</v>
      </c>
      <c r="G116" s="218">
        <v>0</v>
      </c>
      <c r="H116" s="77">
        <f>F116*AM116</f>
        <v>0</v>
      </c>
      <c r="I116" s="77">
        <f>F116*AN116</f>
        <v>0</v>
      </c>
      <c r="J116" s="77">
        <f>F116*G116</f>
        <v>0</v>
      </c>
      <c r="K116" s="77">
        <v>0</v>
      </c>
      <c r="L116" s="77">
        <f>F116*K116</f>
        <v>0</v>
      </c>
      <c r="M116" s="103" t="s">
        <v>35</v>
      </c>
      <c r="X116" s="77">
        <f>IF(AO116="5",BH116,0)</f>
        <v>0</v>
      </c>
      <c r="Z116" s="77">
        <f>IF(AO116="1",BF116,0)</f>
        <v>0</v>
      </c>
      <c r="AA116" s="77">
        <f>IF(AO116="1",BG116,0)</f>
        <v>0</v>
      </c>
      <c r="AB116" s="77">
        <f>IF(AO116="7",BF116,0)</f>
        <v>0</v>
      </c>
      <c r="AC116" s="77">
        <f>IF(AO116="7",BG116,0)</f>
        <v>0</v>
      </c>
      <c r="AD116" s="77">
        <f>IF(AO116="2",BF116,0)</f>
        <v>0</v>
      </c>
      <c r="AE116" s="77">
        <f>IF(AO116="2",BG116,0)</f>
        <v>0</v>
      </c>
      <c r="AF116" s="77">
        <f>IF(AO116="0",BH116,0)</f>
        <v>0</v>
      </c>
      <c r="AG116" s="71" t="s">
        <v>129</v>
      </c>
      <c r="AH116" s="77">
        <f>IF(AL116=0,J116,0)</f>
        <v>0</v>
      </c>
      <c r="AI116" s="77">
        <f>IF(AL116=15,J116,0)</f>
        <v>0</v>
      </c>
      <c r="AJ116" s="77">
        <f>IF(AL116=21,J116,0)</f>
        <v>0</v>
      </c>
      <c r="AL116" s="77">
        <v>15</v>
      </c>
      <c r="AM116" s="77">
        <f>G116*0.006815287</f>
        <v>0</v>
      </c>
      <c r="AN116" s="77">
        <f>G116*(1-0.006815287)</f>
        <v>0</v>
      </c>
      <c r="AO116" s="79" t="s">
        <v>132</v>
      </c>
      <c r="AT116" s="77">
        <f>AU116+AV116</f>
        <v>0</v>
      </c>
      <c r="AU116" s="77">
        <f>F116*AM116</f>
        <v>0</v>
      </c>
      <c r="AV116" s="77">
        <f>F116*AN116</f>
        <v>0</v>
      </c>
      <c r="AW116" s="79" t="s">
        <v>340</v>
      </c>
      <c r="AX116" s="79" t="s">
        <v>320</v>
      </c>
      <c r="AY116" s="71" t="s">
        <v>137</v>
      </c>
      <c r="BA116" s="77">
        <f>AU116+AV116</f>
        <v>0</v>
      </c>
      <c r="BB116" s="77">
        <f>G116/(100-BC116)*100</f>
        <v>0</v>
      </c>
      <c r="BC116" s="77">
        <v>0</v>
      </c>
      <c r="BD116" s="77">
        <f>L116</f>
        <v>0</v>
      </c>
      <c r="BF116" s="77">
        <f>F116*AM116</f>
        <v>0</v>
      </c>
      <c r="BG116" s="77">
        <f>F116*AN116</f>
        <v>0</v>
      </c>
      <c r="BH116" s="77">
        <f>F116*G116</f>
        <v>0</v>
      </c>
      <c r="BI116" s="77"/>
      <c r="BJ116" s="77">
        <v>89</v>
      </c>
      <c r="BU116" s="77" t="e">
        <f>#REF!</f>
        <v>#REF!</v>
      </c>
      <c r="BV116" s="70" t="s">
        <v>359</v>
      </c>
    </row>
    <row r="117" spans="1:74" ht="40.5" customHeight="1" x14ac:dyDescent="0.25">
      <c r="A117" s="104"/>
      <c r="B117" s="81" t="s">
        <v>138</v>
      </c>
      <c r="C117" s="303" t="s">
        <v>360</v>
      </c>
      <c r="D117" s="304"/>
      <c r="E117" s="304"/>
      <c r="F117" s="304"/>
      <c r="G117" s="304"/>
      <c r="H117" s="304"/>
      <c r="I117" s="304"/>
      <c r="J117" s="304"/>
      <c r="K117" s="304"/>
      <c r="L117" s="304"/>
      <c r="M117" s="305"/>
    </row>
    <row r="118" spans="1:74" x14ac:dyDescent="0.25">
      <c r="A118" s="92" t="s">
        <v>361</v>
      </c>
      <c r="B118" s="69" t="s">
        <v>362</v>
      </c>
      <c r="C118" s="306" t="s">
        <v>363</v>
      </c>
      <c r="D118" s="307"/>
      <c r="E118" s="69" t="s">
        <v>364</v>
      </c>
      <c r="F118" s="77">
        <v>3</v>
      </c>
      <c r="G118" s="218">
        <v>0</v>
      </c>
      <c r="H118" s="77">
        <f>F118*AM118</f>
        <v>0</v>
      </c>
      <c r="I118" s="77">
        <f>F118*AN118</f>
        <v>0</v>
      </c>
      <c r="J118" s="77">
        <f>F118*G118</f>
        <v>0</v>
      </c>
      <c r="K118" s="77">
        <v>4.0999999999999999E-4</v>
      </c>
      <c r="L118" s="77">
        <f>F118*K118</f>
        <v>1.23E-3</v>
      </c>
      <c r="M118" s="103" t="s">
        <v>35</v>
      </c>
      <c r="X118" s="77">
        <f>IF(AO118="5",BH118,0)</f>
        <v>0</v>
      </c>
      <c r="Z118" s="77">
        <f>IF(AO118="1",BF118,0)</f>
        <v>0</v>
      </c>
      <c r="AA118" s="77">
        <f>IF(AO118="1",BG118,0)</f>
        <v>0</v>
      </c>
      <c r="AB118" s="77">
        <f>IF(AO118="7",BF118,0)</f>
        <v>0</v>
      </c>
      <c r="AC118" s="77">
        <f>IF(AO118="7",BG118,0)</f>
        <v>0</v>
      </c>
      <c r="AD118" s="77">
        <f>IF(AO118="2",BF118,0)</f>
        <v>0</v>
      </c>
      <c r="AE118" s="77">
        <f>IF(AO118="2",BG118,0)</f>
        <v>0</v>
      </c>
      <c r="AF118" s="77">
        <f>IF(AO118="0",BH118,0)</f>
        <v>0</v>
      </c>
      <c r="AG118" s="71" t="s">
        <v>129</v>
      </c>
      <c r="AH118" s="77">
        <f>IF(AL118=0,J118,0)</f>
        <v>0</v>
      </c>
      <c r="AI118" s="77">
        <f>IF(AL118=15,J118,0)</f>
        <v>0</v>
      </c>
      <c r="AJ118" s="77">
        <f>IF(AL118=21,J118,0)</f>
        <v>0</v>
      </c>
      <c r="AL118" s="77">
        <v>15</v>
      </c>
      <c r="AM118" s="77">
        <f>G118*0.118974717</f>
        <v>0</v>
      </c>
      <c r="AN118" s="77">
        <f>G118*(1-0.118974717)</f>
        <v>0</v>
      </c>
      <c r="AO118" s="79" t="s">
        <v>132</v>
      </c>
      <c r="AT118" s="77">
        <f>AU118+AV118</f>
        <v>0</v>
      </c>
      <c r="AU118" s="77">
        <f>F118*AM118</f>
        <v>0</v>
      </c>
      <c r="AV118" s="77">
        <f>F118*AN118</f>
        <v>0</v>
      </c>
      <c r="AW118" s="79" t="s">
        <v>340</v>
      </c>
      <c r="AX118" s="79" t="s">
        <v>320</v>
      </c>
      <c r="AY118" s="71" t="s">
        <v>137</v>
      </c>
      <c r="BA118" s="77">
        <f>AU118+AV118</f>
        <v>0</v>
      </c>
      <c r="BB118" s="77">
        <f>G118/(100-BC118)*100</f>
        <v>0</v>
      </c>
      <c r="BC118" s="77">
        <v>0</v>
      </c>
      <c r="BD118" s="77">
        <f>L118</f>
        <v>1.23E-3</v>
      </c>
      <c r="BF118" s="77">
        <f>F118*AM118</f>
        <v>0</v>
      </c>
      <c r="BG118" s="77">
        <f>F118*AN118</f>
        <v>0</v>
      </c>
      <c r="BH118" s="77">
        <f>F118*G118</f>
        <v>0</v>
      </c>
      <c r="BI118" s="77"/>
      <c r="BJ118" s="77">
        <v>89</v>
      </c>
      <c r="BU118" s="77" t="e">
        <f>#REF!</f>
        <v>#REF!</v>
      </c>
      <c r="BV118" s="70" t="s">
        <v>363</v>
      </c>
    </row>
    <row r="119" spans="1:74" ht="40.5" customHeight="1" x14ac:dyDescent="0.25">
      <c r="A119" s="104"/>
      <c r="B119" s="81" t="s">
        <v>138</v>
      </c>
      <c r="C119" s="303" t="s">
        <v>365</v>
      </c>
      <c r="D119" s="304"/>
      <c r="E119" s="304"/>
      <c r="F119" s="304"/>
      <c r="G119" s="304"/>
      <c r="H119" s="304"/>
      <c r="I119" s="304"/>
      <c r="J119" s="304"/>
      <c r="K119" s="304"/>
      <c r="L119" s="304"/>
      <c r="M119" s="305"/>
    </row>
    <row r="120" spans="1:74" x14ac:dyDescent="0.25">
      <c r="A120" s="92" t="s">
        <v>366</v>
      </c>
      <c r="B120" s="69" t="s">
        <v>367</v>
      </c>
      <c r="C120" s="306" t="s">
        <v>368</v>
      </c>
      <c r="D120" s="307"/>
      <c r="E120" s="69" t="s">
        <v>145</v>
      </c>
      <c r="F120" s="77">
        <v>79.5</v>
      </c>
      <c r="G120" s="218">
        <v>0</v>
      </c>
      <c r="H120" s="77">
        <f>F120*AM120</f>
        <v>0</v>
      </c>
      <c r="I120" s="77">
        <f>F120*AN120</f>
        <v>0</v>
      </c>
      <c r="J120" s="77">
        <f>F120*G120</f>
        <v>0</v>
      </c>
      <c r="K120" s="77">
        <v>0</v>
      </c>
      <c r="L120" s="77">
        <f>F120*K120</f>
        <v>0</v>
      </c>
      <c r="M120" s="103" t="s">
        <v>35</v>
      </c>
      <c r="X120" s="77">
        <f>IF(AO120="5",BH120,0)</f>
        <v>0</v>
      </c>
      <c r="Z120" s="77">
        <f>IF(AO120="1",BF120,0)</f>
        <v>0</v>
      </c>
      <c r="AA120" s="77">
        <f>IF(AO120="1",BG120,0)</f>
        <v>0</v>
      </c>
      <c r="AB120" s="77">
        <f>IF(AO120="7",BF120,0)</f>
        <v>0</v>
      </c>
      <c r="AC120" s="77">
        <f>IF(AO120="7",BG120,0)</f>
        <v>0</v>
      </c>
      <c r="AD120" s="77">
        <f>IF(AO120="2",BF120,0)</f>
        <v>0</v>
      </c>
      <c r="AE120" s="77">
        <f>IF(AO120="2",BG120,0)</f>
        <v>0</v>
      </c>
      <c r="AF120" s="77">
        <f>IF(AO120="0",BH120,0)</f>
        <v>0</v>
      </c>
      <c r="AG120" s="71" t="s">
        <v>129</v>
      </c>
      <c r="AH120" s="77">
        <f>IF(AL120=0,J120,0)</f>
        <v>0</v>
      </c>
      <c r="AI120" s="77">
        <f>IF(AL120=15,J120,0)</f>
        <v>0</v>
      </c>
      <c r="AJ120" s="77">
        <f>IF(AL120=21,J120,0)</f>
        <v>0</v>
      </c>
      <c r="AL120" s="77">
        <v>15</v>
      </c>
      <c r="AM120" s="77">
        <f>G120*0.090780419</f>
        <v>0</v>
      </c>
      <c r="AN120" s="77">
        <f>G120*(1-0.090780419)</f>
        <v>0</v>
      </c>
      <c r="AO120" s="79" t="s">
        <v>132</v>
      </c>
      <c r="AT120" s="77">
        <f>AU120+AV120</f>
        <v>0</v>
      </c>
      <c r="AU120" s="77">
        <f>F120*AM120</f>
        <v>0</v>
      </c>
      <c r="AV120" s="77">
        <f>F120*AN120</f>
        <v>0</v>
      </c>
      <c r="AW120" s="79" t="s">
        <v>340</v>
      </c>
      <c r="AX120" s="79" t="s">
        <v>320</v>
      </c>
      <c r="AY120" s="71" t="s">
        <v>137</v>
      </c>
      <c r="BA120" s="77">
        <f>AU120+AV120</f>
        <v>0</v>
      </c>
      <c r="BB120" s="77">
        <f>G120/(100-BC120)*100</f>
        <v>0</v>
      </c>
      <c r="BC120" s="77">
        <v>0</v>
      </c>
      <c r="BD120" s="77">
        <f>L120</f>
        <v>0</v>
      </c>
      <c r="BF120" s="77">
        <f>F120*AM120</f>
        <v>0</v>
      </c>
      <c r="BG120" s="77">
        <f>F120*AN120</f>
        <v>0</v>
      </c>
      <c r="BH120" s="77">
        <f>F120*G120</f>
        <v>0</v>
      </c>
      <c r="BI120" s="77"/>
      <c r="BJ120" s="77">
        <v>89</v>
      </c>
      <c r="BU120" s="77" t="e">
        <f>#REF!</f>
        <v>#REF!</v>
      </c>
      <c r="BV120" s="70" t="s">
        <v>368</v>
      </c>
    </row>
    <row r="121" spans="1:74" ht="40.5" customHeight="1" x14ac:dyDescent="0.25">
      <c r="A121" s="104"/>
      <c r="B121" s="81" t="s">
        <v>138</v>
      </c>
      <c r="C121" s="303" t="s">
        <v>369</v>
      </c>
      <c r="D121" s="304"/>
      <c r="E121" s="304"/>
      <c r="F121" s="304"/>
      <c r="G121" s="304"/>
      <c r="H121" s="304"/>
      <c r="I121" s="304"/>
      <c r="J121" s="304"/>
      <c r="K121" s="304"/>
      <c r="L121" s="304"/>
      <c r="M121" s="305"/>
    </row>
    <row r="122" spans="1:74" x14ac:dyDescent="0.25">
      <c r="A122" s="92" t="s">
        <v>370</v>
      </c>
      <c r="B122" s="69" t="s">
        <v>371</v>
      </c>
      <c r="C122" s="306" t="s">
        <v>372</v>
      </c>
      <c r="D122" s="307"/>
      <c r="E122" s="69" t="s">
        <v>145</v>
      </c>
      <c r="F122" s="77">
        <v>79.5</v>
      </c>
      <c r="G122" s="218">
        <v>0</v>
      </c>
      <c r="H122" s="77">
        <f>F122*AM122</f>
        <v>0</v>
      </c>
      <c r="I122" s="77">
        <f>F122*AN122</f>
        <v>0</v>
      </c>
      <c r="J122" s="77">
        <f>F122*G122</f>
        <v>0</v>
      </c>
      <c r="K122" s="77">
        <v>0</v>
      </c>
      <c r="L122" s="77">
        <f>F122*K122</f>
        <v>0</v>
      </c>
      <c r="M122" s="103" t="s">
        <v>35</v>
      </c>
      <c r="X122" s="77">
        <f>IF(AO122="5",BH122,0)</f>
        <v>0</v>
      </c>
      <c r="Z122" s="77">
        <f>IF(AO122="1",BF122,0)</f>
        <v>0</v>
      </c>
      <c r="AA122" s="77">
        <f>IF(AO122="1",BG122,0)</f>
        <v>0</v>
      </c>
      <c r="AB122" s="77">
        <f>IF(AO122="7",BF122,0)</f>
        <v>0</v>
      </c>
      <c r="AC122" s="77">
        <f>IF(AO122="7",BG122,0)</f>
        <v>0</v>
      </c>
      <c r="AD122" s="77">
        <f>IF(AO122="2",BF122,0)</f>
        <v>0</v>
      </c>
      <c r="AE122" s="77">
        <f>IF(AO122="2",BG122,0)</f>
        <v>0</v>
      </c>
      <c r="AF122" s="77">
        <f>IF(AO122="0",BH122,0)</f>
        <v>0</v>
      </c>
      <c r="AG122" s="71" t="s">
        <v>129</v>
      </c>
      <c r="AH122" s="77">
        <f>IF(AL122=0,J122,0)</f>
        <v>0</v>
      </c>
      <c r="AI122" s="77">
        <f>IF(AL122=15,J122,0)</f>
        <v>0</v>
      </c>
      <c r="AJ122" s="77">
        <f>IF(AL122=21,J122,0)</f>
        <v>0</v>
      </c>
      <c r="AL122" s="77">
        <v>15</v>
      </c>
      <c r="AM122" s="77">
        <f>G122*0</f>
        <v>0</v>
      </c>
      <c r="AN122" s="77">
        <f>G122*(1-0)</f>
        <v>0</v>
      </c>
      <c r="AO122" s="79" t="s">
        <v>132</v>
      </c>
      <c r="AT122" s="77">
        <f>AU122+AV122</f>
        <v>0</v>
      </c>
      <c r="AU122" s="77">
        <f>F122*AM122</f>
        <v>0</v>
      </c>
      <c r="AV122" s="77">
        <f>F122*AN122</f>
        <v>0</v>
      </c>
      <c r="AW122" s="79" t="s">
        <v>340</v>
      </c>
      <c r="AX122" s="79" t="s">
        <v>320</v>
      </c>
      <c r="AY122" s="71" t="s">
        <v>137</v>
      </c>
      <c r="BA122" s="77">
        <f>AU122+AV122</f>
        <v>0</v>
      </c>
      <c r="BB122" s="77">
        <f>G122/(100-BC122)*100</f>
        <v>0</v>
      </c>
      <c r="BC122" s="77">
        <v>0</v>
      </c>
      <c r="BD122" s="77">
        <f>L122</f>
        <v>0</v>
      </c>
      <c r="BF122" s="77">
        <f>F122*AM122</f>
        <v>0</v>
      </c>
      <c r="BG122" s="77">
        <f>F122*AN122</f>
        <v>0</v>
      </c>
      <c r="BH122" s="77">
        <f>F122*G122</f>
        <v>0</v>
      </c>
      <c r="BI122" s="77"/>
      <c r="BJ122" s="77">
        <v>89</v>
      </c>
      <c r="BU122" s="77" t="e">
        <f>#REF!</f>
        <v>#REF!</v>
      </c>
      <c r="BV122" s="70" t="s">
        <v>372</v>
      </c>
    </row>
    <row r="123" spans="1:74" ht="40.5" customHeight="1" x14ac:dyDescent="0.25">
      <c r="A123" s="104"/>
      <c r="B123" s="81" t="s">
        <v>138</v>
      </c>
      <c r="C123" s="303" t="s">
        <v>373</v>
      </c>
      <c r="D123" s="304"/>
      <c r="E123" s="304"/>
      <c r="F123" s="304"/>
      <c r="G123" s="304"/>
      <c r="H123" s="304"/>
      <c r="I123" s="304"/>
      <c r="J123" s="304"/>
      <c r="K123" s="304"/>
      <c r="L123" s="304"/>
      <c r="M123" s="305"/>
    </row>
    <row r="124" spans="1:74" x14ac:dyDescent="0.25">
      <c r="A124" s="92" t="s">
        <v>374</v>
      </c>
      <c r="B124" s="69" t="s">
        <v>375</v>
      </c>
      <c r="C124" s="306" t="s">
        <v>376</v>
      </c>
      <c r="D124" s="307"/>
      <c r="E124" s="69" t="s">
        <v>145</v>
      </c>
      <c r="F124" s="77">
        <v>87.45</v>
      </c>
      <c r="G124" s="218">
        <v>0</v>
      </c>
      <c r="H124" s="77">
        <f>F124*AM124</f>
        <v>0</v>
      </c>
      <c r="I124" s="77">
        <f>F124*AN124</f>
        <v>0</v>
      </c>
      <c r="J124" s="77">
        <f>F124*G124</f>
        <v>0</v>
      </c>
      <c r="K124" s="77">
        <v>0</v>
      </c>
      <c r="L124" s="77">
        <f>F124*K124</f>
        <v>0</v>
      </c>
      <c r="M124" s="103" t="s">
        <v>35</v>
      </c>
      <c r="X124" s="77">
        <f>IF(AO124="5",BH124,0)</f>
        <v>0</v>
      </c>
      <c r="Z124" s="77">
        <f>IF(AO124="1",BF124,0)</f>
        <v>0</v>
      </c>
      <c r="AA124" s="77">
        <f>IF(AO124="1",BG124,0)</f>
        <v>0</v>
      </c>
      <c r="AB124" s="77">
        <f>IF(AO124="7",BF124,0)</f>
        <v>0</v>
      </c>
      <c r="AC124" s="77">
        <f>IF(AO124="7",BG124,0)</f>
        <v>0</v>
      </c>
      <c r="AD124" s="77">
        <f>IF(AO124="2",BF124,0)</f>
        <v>0</v>
      </c>
      <c r="AE124" s="77">
        <f>IF(AO124="2",BG124,0)</f>
        <v>0</v>
      </c>
      <c r="AF124" s="77">
        <f>IF(AO124="0",BH124,0)</f>
        <v>0</v>
      </c>
      <c r="AG124" s="71" t="s">
        <v>129</v>
      </c>
      <c r="AH124" s="77">
        <f>IF(AL124=0,J124,0)</f>
        <v>0</v>
      </c>
      <c r="AI124" s="77">
        <f>IF(AL124=15,J124,0)</f>
        <v>0</v>
      </c>
      <c r="AJ124" s="77">
        <f>IF(AL124=21,J124,0)</f>
        <v>0</v>
      </c>
      <c r="AL124" s="77">
        <v>15</v>
      </c>
      <c r="AM124" s="77">
        <f>G124*0.352745036</f>
        <v>0</v>
      </c>
      <c r="AN124" s="77">
        <f>G124*(1-0.352745036)</f>
        <v>0</v>
      </c>
      <c r="AO124" s="79" t="s">
        <v>132</v>
      </c>
      <c r="AT124" s="77">
        <f>AU124+AV124</f>
        <v>0</v>
      </c>
      <c r="AU124" s="77">
        <f>F124*AM124</f>
        <v>0</v>
      </c>
      <c r="AV124" s="77">
        <f>F124*AN124</f>
        <v>0</v>
      </c>
      <c r="AW124" s="79" t="s">
        <v>340</v>
      </c>
      <c r="AX124" s="79" t="s">
        <v>320</v>
      </c>
      <c r="AY124" s="71" t="s">
        <v>137</v>
      </c>
      <c r="BA124" s="77">
        <f>AU124+AV124</f>
        <v>0</v>
      </c>
      <c r="BB124" s="77">
        <f>G124/(100-BC124)*100</f>
        <v>0</v>
      </c>
      <c r="BC124" s="77">
        <v>0</v>
      </c>
      <c r="BD124" s="77">
        <f>L124</f>
        <v>0</v>
      </c>
      <c r="BF124" s="77">
        <f>F124*AM124</f>
        <v>0</v>
      </c>
      <c r="BG124" s="77">
        <f>F124*AN124</f>
        <v>0</v>
      </c>
      <c r="BH124" s="77">
        <f>F124*G124</f>
        <v>0</v>
      </c>
      <c r="BI124" s="77"/>
      <c r="BJ124" s="77">
        <v>89</v>
      </c>
      <c r="BU124" s="77" t="e">
        <f>#REF!</f>
        <v>#REF!</v>
      </c>
      <c r="BV124" s="70" t="s">
        <v>376</v>
      </c>
    </row>
    <row r="125" spans="1:74" ht="40.5" customHeight="1" x14ac:dyDescent="0.25">
      <c r="A125" s="104"/>
      <c r="B125" s="81" t="s">
        <v>138</v>
      </c>
      <c r="C125" s="303" t="s">
        <v>377</v>
      </c>
      <c r="D125" s="304"/>
      <c r="E125" s="304"/>
      <c r="F125" s="304"/>
      <c r="G125" s="304"/>
      <c r="H125" s="304"/>
      <c r="I125" s="304"/>
      <c r="J125" s="304"/>
      <c r="K125" s="304"/>
      <c r="L125" s="304"/>
      <c r="M125" s="305"/>
    </row>
    <row r="126" spans="1:74" x14ac:dyDescent="0.25">
      <c r="A126" s="105" t="s">
        <v>129</v>
      </c>
      <c r="B126" s="74" t="s">
        <v>378</v>
      </c>
      <c r="C126" s="314" t="s">
        <v>379</v>
      </c>
      <c r="D126" s="315"/>
      <c r="E126" s="75" t="s">
        <v>87</v>
      </c>
      <c r="F126" s="75" t="s">
        <v>87</v>
      </c>
      <c r="G126" s="75" t="s">
        <v>87</v>
      </c>
      <c r="H126" s="67">
        <f>SUM(H127:H127)</f>
        <v>0</v>
      </c>
      <c r="I126" s="67">
        <f>SUM(I127:I127)</f>
        <v>0</v>
      </c>
      <c r="J126" s="67">
        <f>SUM(J127:J127)</f>
        <v>0</v>
      </c>
      <c r="K126" s="71" t="s">
        <v>129</v>
      </c>
      <c r="L126" s="67">
        <f>SUM(L127:L127)</f>
        <v>0</v>
      </c>
      <c r="M126" s="106" t="s">
        <v>129</v>
      </c>
      <c r="AG126" s="71" t="s">
        <v>129</v>
      </c>
      <c r="AQ126" s="67">
        <f>SUM(AH127:AH127)</f>
        <v>0</v>
      </c>
      <c r="AR126" s="67">
        <f>SUM(AI127:AI127)</f>
        <v>0</v>
      </c>
      <c r="AS126" s="67">
        <f>SUM(AJ127:AJ127)</f>
        <v>0</v>
      </c>
    </row>
    <row r="127" spans="1:74" x14ac:dyDescent="0.25">
      <c r="A127" s="92" t="s">
        <v>380</v>
      </c>
      <c r="B127" s="69" t="s">
        <v>381</v>
      </c>
      <c r="C127" s="306" t="s">
        <v>382</v>
      </c>
      <c r="D127" s="307"/>
      <c r="E127" s="69" t="s">
        <v>281</v>
      </c>
      <c r="F127" s="77">
        <v>260.10000000000002</v>
      </c>
      <c r="G127" s="218">
        <v>0</v>
      </c>
      <c r="H127" s="77">
        <f>F127*AM127</f>
        <v>0</v>
      </c>
      <c r="I127" s="77">
        <f>F127*AN127</f>
        <v>0</v>
      </c>
      <c r="J127" s="77">
        <f>F127*G127</f>
        <v>0</v>
      </c>
      <c r="K127" s="77">
        <v>0</v>
      </c>
      <c r="L127" s="77">
        <f>F127*K127</f>
        <v>0</v>
      </c>
      <c r="M127" s="103" t="s">
        <v>35</v>
      </c>
      <c r="X127" s="77">
        <f>IF(AO127="5",BH127,0)</f>
        <v>0</v>
      </c>
      <c r="Z127" s="77">
        <f>IF(AO127="1",BF127,0)</f>
        <v>0</v>
      </c>
      <c r="AA127" s="77">
        <f>IF(AO127="1",BG127,0)</f>
        <v>0</v>
      </c>
      <c r="AB127" s="77">
        <f>IF(AO127="7",BF127,0)</f>
        <v>0</v>
      </c>
      <c r="AC127" s="77">
        <f>IF(AO127="7",BG127,0)</f>
        <v>0</v>
      </c>
      <c r="AD127" s="77">
        <f>IF(AO127="2",BF127,0)</f>
        <v>0</v>
      </c>
      <c r="AE127" s="77">
        <f>IF(AO127="2",BG127,0)</f>
        <v>0</v>
      </c>
      <c r="AF127" s="77">
        <f>IF(AO127="0",BH127,0)</f>
        <v>0</v>
      </c>
      <c r="AG127" s="71" t="s">
        <v>129</v>
      </c>
      <c r="AH127" s="77">
        <f>IF(AL127=0,J127,0)</f>
        <v>0</v>
      </c>
      <c r="AI127" s="77">
        <f>IF(AL127=15,J127,0)</f>
        <v>0</v>
      </c>
      <c r="AJ127" s="77">
        <f>IF(AL127=21,J127,0)</f>
        <v>0</v>
      </c>
      <c r="AL127" s="77">
        <v>15</v>
      </c>
      <c r="AM127" s="77">
        <f>G127*0</f>
        <v>0</v>
      </c>
      <c r="AN127" s="77">
        <f>G127*(1-0)</f>
        <v>0</v>
      </c>
      <c r="AO127" s="79" t="s">
        <v>132</v>
      </c>
      <c r="AT127" s="77">
        <f>AU127+AV127</f>
        <v>0</v>
      </c>
      <c r="AU127" s="77">
        <f>F127*AM127</f>
        <v>0</v>
      </c>
      <c r="AV127" s="77">
        <f>F127*AN127</f>
        <v>0</v>
      </c>
      <c r="AW127" s="79" t="s">
        <v>383</v>
      </c>
      <c r="AX127" s="79" t="s">
        <v>384</v>
      </c>
      <c r="AY127" s="71" t="s">
        <v>137</v>
      </c>
      <c r="BA127" s="77">
        <f>AU127+AV127</f>
        <v>0</v>
      </c>
      <c r="BB127" s="77">
        <f>G127/(100-BC127)*100</f>
        <v>0</v>
      </c>
      <c r="BC127" s="77">
        <v>0</v>
      </c>
      <c r="BD127" s="77">
        <f>L127</f>
        <v>0</v>
      </c>
      <c r="BF127" s="77">
        <f>F127*AM127</f>
        <v>0</v>
      </c>
      <c r="BG127" s="77">
        <f>F127*AN127</f>
        <v>0</v>
      </c>
      <c r="BH127" s="77">
        <f>F127*G127</f>
        <v>0</v>
      </c>
      <c r="BI127" s="77"/>
      <c r="BJ127" s="77">
        <v>97</v>
      </c>
      <c r="BU127" s="77" t="e">
        <f>#REF!</f>
        <v>#REF!</v>
      </c>
      <c r="BV127" s="70" t="s">
        <v>382</v>
      </c>
    </row>
    <row r="128" spans="1:74" ht="27" customHeight="1" x14ac:dyDescent="0.25">
      <c r="A128" s="104"/>
      <c r="B128" s="81" t="s">
        <v>138</v>
      </c>
      <c r="C128" s="303" t="s">
        <v>385</v>
      </c>
      <c r="D128" s="304"/>
      <c r="E128" s="304"/>
      <c r="F128" s="304"/>
      <c r="G128" s="304"/>
      <c r="H128" s="304"/>
      <c r="I128" s="304"/>
      <c r="J128" s="304"/>
      <c r="K128" s="304"/>
      <c r="L128" s="304"/>
      <c r="M128" s="305"/>
    </row>
    <row r="129" spans="1:74" x14ac:dyDescent="0.25">
      <c r="A129" s="105" t="s">
        <v>129</v>
      </c>
      <c r="B129" s="74" t="s">
        <v>386</v>
      </c>
      <c r="C129" s="314" t="s">
        <v>387</v>
      </c>
      <c r="D129" s="315"/>
      <c r="E129" s="75" t="s">
        <v>87</v>
      </c>
      <c r="F129" s="75" t="s">
        <v>87</v>
      </c>
      <c r="G129" s="75" t="s">
        <v>87</v>
      </c>
      <c r="H129" s="67">
        <f>SUM(H130:H135)</f>
        <v>0</v>
      </c>
      <c r="I129" s="67">
        <f>SUM(I130:I135)</f>
        <v>0</v>
      </c>
      <c r="J129" s="67">
        <f>SUM(J130:J135)</f>
        <v>0</v>
      </c>
      <c r="K129" s="71" t="s">
        <v>129</v>
      </c>
      <c r="L129" s="67">
        <f>SUM(L130:L135)</f>
        <v>0</v>
      </c>
      <c r="M129" s="106" t="s">
        <v>129</v>
      </c>
      <c r="AG129" s="71" t="s">
        <v>129</v>
      </c>
      <c r="AQ129" s="67">
        <f>SUM(AH130:AH135)</f>
        <v>0</v>
      </c>
      <c r="AR129" s="67">
        <f>SUM(AI130:AI135)</f>
        <v>0</v>
      </c>
      <c r="AS129" s="67">
        <f>SUM(AJ130:AJ135)</f>
        <v>0</v>
      </c>
    </row>
    <row r="130" spans="1:74" x14ac:dyDescent="0.25">
      <c r="A130" s="92" t="s">
        <v>388</v>
      </c>
      <c r="B130" s="69" t="s">
        <v>389</v>
      </c>
      <c r="C130" s="306" t="s">
        <v>390</v>
      </c>
      <c r="D130" s="307"/>
      <c r="E130" s="69" t="s">
        <v>281</v>
      </c>
      <c r="F130" s="77">
        <v>175.43</v>
      </c>
      <c r="G130" s="218">
        <v>0</v>
      </c>
      <c r="H130" s="77">
        <f>F130*AM130</f>
        <v>0</v>
      </c>
      <c r="I130" s="77">
        <f>F130*AN130</f>
        <v>0</v>
      </c>
      <c r="J130" s="77">
        <f>F130*G130</f>
        <v>0</v>
      </c>
      <c r="K130" s="77">
        <v>0</v>
      </c>
      <c r="L130" s="77">
        <f>F130*K130</f>
        <v>0</v>
      </c>
      <c r="M130" s="103" t="s">
        <v>35</v>
      </c>
      <c r="X130" s="77">
        <f>IF(AO130="5",BH130,0)</f>
        <v>0</v>
      </c>
      <c r="Z130" s="77">
        <f>IF(AO130="1",BF130,0)</f>
        <v>0</v>
      </c>
      <c r="AA130" s="77">
        <f>IF(AO130="1",BG130,0)</f>
        <v>0</v>
      </c>
      <c r="AB130" s="77">
        <f>IF(AO130="7",BF130,0)</f>
        <v>0</v>
      </c>
      <c r="AC130" s="77">
        <f>IF(AO130="7",BG130,0)</f>
        <v>0</v>
      </c>
      <c r="AD130" s="77">
        <f>IF(AO130="2",BF130,0)</f>
        <v>0</v>
      </c>
      <c r="AE130" s="77">
        <f>IF(AO130="2",BG130,0)</f>
        <v>0</v>
      </c>
      <c r="AF130" s="77">
        <f>IF(AO130="0",BH130,0)</f>
        <v>0</v>
      </c>
      <c r="AG130" s="71" t="s">
        <v>129</v>
      </c>
      <c r="AH130" s="77">
        <f>IF(AL130=0,J130,0)</f>
        <v>0</v>
      </c>
      <c r="AI130" s="77">
        <f>IF(AL130=15,J130,0)</f>
        <v>0</v>
      </c>
      <c r="AJ130" s="77">
        <f>IF(AL130=21,J130,0)</f>
        <v>0</v>
      </c>
      <c r="AL130" s="77">
        <v>15</v>
      </c>
      <c r="AM130" s="77">
        <f>G130*0</f>
        <v>0</v>
      </c>
      <c r="AN130" s="77">
        <f>G130*(1-0)</f>
        <v>0</v>
      </c>
      <c r="AO130" s="79" t="s">
        <v>158</v>
      </c>
      <c r="AT130" s="77">
        <f>AU130+AV130</f>
        <v>0</v>
      </c>
      <c r="AU130" s="77">
        <f>F130*AM130</f>
        <v>0</v>
      </c>
      <c r="AV130" s="77">
        <f>F130*AN130</f>
        <v>0</v>
      </c>
      <c r="AW130" s="79" t="s">
        <v>391</v>
      </c>
      <c r="AX130" s="79" t="s">
        <v>384</v>
      </c>
      <c r="AY130" s="71" t="s">
        <v>137</v>
      </c>
      <c r="BA130" s="77">
        <f>AU130+AV130</f>
        <v>0</v>
      </c>
      <c r="BB130" s="77">
        <f>G130/(100-BC130)*100</f>
        <v>0</v>
      </c>
      <c r="BC130" s="77">
        <v>0</v>
      </c>
      <c r="BD130" s="77">
        <f>L130</f>
        <v>0</v>
      </c>
      <c r="BF130" s="77">
        <f>F130*AM130</f>
        <v>0</v>
      </c>
      <c r="BG130" s="77">
        <f>F130*AN130</f>
        <v>0</v>
      </c>
      <c r="BH130" s="77">
        <f>F130*G130</f>
        <v>0</v>
      </c>
      <c r="BI130" s="77"/>
      <c r="BJ130" s="77"/>
      <c r="BU130" s="77" t="e">
        <f>#REF!</f>
        <v>#REF!</v>
      </c>
      <c r="BV130" s="70" t="s">
        <v>390</v>
      </c>
    </row>
    <row r="131" spans="1:74" x14ac:dyDescent="0.25">
      <c r="A131" s="92" t="s">
        <v>392</v>
      </c>
      <c r="B131" s="69" t="s">
        <v>393</v>
      </c>
      <c r="C131" s="306" t="s">
        <v>394</v>
      </c>
      <c r="D131" s="307"/>
      <c r="E131" s="69" t="s">
        <v>281</v>
      </c>
      <c r="F131" s="77">
        <v>657.86</v>
      </c>
      <c r="G131" s="218">
        <v>0</v>
      </c>
      <c r="H131" s="77">
        <f>F131*AM131</f>
        <v>0</v>
      </c>
      <c r="I131" s="77">
        <f>F131*AN131</f>
        <v>0</v>
      </c>
      <c r="J131" s="77">
        <f>F131*G131</f>
        <v>0</v>
      </c>
      <c r="K131" s="77">
        <v>0</v>
      </c>
      <c r="L131" s="77">
        <f>F131*K131</f>
        <v>0</v>
      </c>
      <c r="M131" s="103" t="s">
        <v>35</v>
      </c>
      <c r="X131" s="77">
        <f>IF(AO131="5",BH131,0)</f>
        <v>0</v>
      </c>
      <c r="Z131" s="77">
        <f>IF(AO131="1",BF131,0)</f>
        <v>0</v>
      </c>
      <c r="AA131" s="77">
        <f>IF(AO131="1",BG131,0)</f>
        <v>0</v>
      </c>
      <c r="AB131" s="77">
        <f>IF(AO131="7",BF131,0)</f>
        <v>0</v>
      </c>
      <c r="AC131" s="77">
        <f>IF(AO131="7",BG131,0)</f>
        <v>0</v>
      </c>
      <c r="AD131" s="77">
        <f>IF(AO131="2",BF131,0)</f>
        <v>0</v>
      </c>
      <c r="AE131" s="77">
        <f>IF(AO131="2",BG131,0)</f>
        <v>0</v>
      </c>
      <c r="AF131" s="77">
        <f>IF(AO131="0",BH131,0)</f>
        <v>0</v>
      </c>
      <c r="AG131" s="71" t="s">
        <v>129</v>
      </c>
      <c r="AH131" s="77">
        <f>IF(AL131=0,J131,0)</f>
        <v>0</v>
      </c>
      <c r="AI131" s="77">
        <f>IF(AL131=15,J131,0)</f>
        <v>0</v>
      </c>
      <c r="AJ131" s="77">
        <f>IF(AL131=21,J131,0)</f>
        <v>0</v>
      </c>
      <c r="AL131" s="77">
        <v>15</v>
      </c>
      <c r="AM131" s="77">
        <f>G131*0</f>
        <v>0</v>
      </c>
      <c r="AN131" s="77">
        <f>G131*(1-0)</f>
        <v>0</v>
      </c>
      <c r="AO131" s="79" t="s">
        <v>158</v>
      </c>
      <c r="AT131" s="77">
        <f>AU131+AV131</f>
        <v>0</v>
      </c>
      <c r="AU131" s="77">
        <f>F131*AM131</f>
        <v>0</v>
      </c>
      <c r="AV131" s="77">
        <f>F131*AN131</f>
        <v>0</v>
      </c>
      <c r="AW131" s="79" t="s">
        <v>391</v>
      </c>
      <c r="AX131" s="79" t="s">
        <v>384</v>
      </c>
      <c r="AY131" s="71" t="s">
        <v>137</v>
      </c>
      <c r="BA131" s="77">
        <f>AU131+AV131</f>
        <v>0</v>
      </c>
      <c r="BB131" s="77">
        <f>G131/(100-BC131)*100</f>
        <v>0</v>
      </c>
      <c r="BC131" s="77">
        <v>0</v>
      </c>
      <c r="BD131" s="77">
        <f>L131</f>
        <v>0</v>
      </c>
      <c r="BF131" s="77">
        <f>F131*AM131</f>
        <v>0</v>
      </c>
      <c r="BG131" s="77">
        <f>F131*AN131</f>
        <v>0</v>
      </c>
      <c r="BH131" s="77">
        <f>F131*G131</f>
        <v>0</v>
      </c>
      <c r="BI131" s="77"/>
      <c r="BJ131" s="77"/>
      <c r="BU131" s="77" t="e">
        <f>#REF!</f>
        <v>#REF!</v>
      </c>
      <c r="BV131" s="70" t="s">
        <v>394</v>
      </c>
    </row>
    <row r="132" spans="1:74" ht="40.5" customHeight="1" x14ac:dyDescent="0.25">
      <c r="A132" s="104"/>
      <c r="B132" s="81" t="s">
        <v>138</v>
      </c>
      <c r="C132" s="303" t="s">
        <v>395</v>
      </c>
      <c r="D132" s="304"/>
      <c r="E132" s="304"/>
      <c r="F132" s="304"/>
      <c r="G132" s="304"/>
      <c r="H132" s="304"/>
      <c r="I132" s="304"/>
      <c r="J132" s="304"/>
      <c r="K132" s="304"/>
      <c r="L132" s="304"/>
      <c r="M132" s="305"/>
    </row>
    <row r="133" spans="1:74" x14ac:dyDescent="0.25">
      <c r="A133" s="92" t="s">
        <v>396</v>
      </c>
      <c r="B133" s="69" t="s">
        <v>397</v>
      </c>
      <c r="C133" s="306" t="s">
        <v>398</v>
      </c>
      <c r="D133" s="307"/>
      <c r="E133" s="69" t="s">
        <v>281</v>
      </c>
      <c r="F133" s="77">
        <v>657.86</v>
      </c>
      <c r="G133" s="218">
        <v>0</v>
      </c>
      <c r="H133" s="77">
        <f>F133*AM133</f>
        <v>0</v>
      </c>
      <c r="I133" s="77">
        <f>F133*AN133</f>
        <v>0</v>
      </c>
      <c r="J133" s="77">
        <f>F133*G133</f>
        <v>0</v>
      </c>
      <c r="K133" s="77">
        <v>0</v>
      </c>
      <c r="L133" s="77">
        <f>F133*K133</f>
        <v>0</v>
      </c>
      <c r="M133" s="103" t="s">
        <v>35</v>
      </c>
      <c r="X133" s="77">
        <f>IF(AO133="5",BH133,0)</f>
        <v>0</v>
      </c>
      <c r="Z133" s="77">
        <f>IF(AO133="1",BF133,0)</f>
        <v>0</v>
      </c>
      <c r="AA133" s="77">
        <f>IF(AO133="1",BG133,0)</f>
        <v>0</v>
      </c>
      <c r="AB133" s="77">
        <f>IF(AO133="7",BF133,0)</f>
        <v>0</v>
      </c>
      <c r="AC133" s="77">
        <f>IF(AO133="7",BG133,0)</f>
        <v>0</v>
      </c>
      <c r="AD133" s="77">
        <f>IF(AO133="2",BF133,0)</f>
        <v>0</v>
      </c>
      <c r="AE133" s="77">
        <f>IF(AO133="2",BG133,0)</f>
        <v>0</v>
      </c>
      <c r="AF133" s="77">
        <f>IF(AO133="0",BH133,0)</f>
        <v>0</v>
      </c>
      <c r="AG133" s="71" t="s">
        <v>129</v>
      </c>
      <c r="AH133" s="77">
        <f>IF(AL133=0,J133,0)</f>
        <v>0</v>
      </c>
      <c r="AI133" s="77">
        <f>IF(AL133=15,J133,0)</f>
        <v>0</v>
      </c>
      <c r="AJ133" s="77">
        <f>IF(AL133=21,J133,0)</f>
        <v>0</v>
      </c>
      <c r="AL133" s="77">
        <v>15</v>
      </c>
      <c r="AM133" s="77">
        <f>G133*0</f>
        <v>0</v>
      </c>
      <c r="AN133" s="77">
        <f>G133*(1-0)</f>
        <v>0</v>
      </c>
      <c r="AO133" s="79" t="s">
        <v>158</v>
      </c>
      <c r="AT133" s="77">
        <f>AU133+AV133</f>
        <v>0</v>
      </c>
      <c r="AU133" s="77">
        <f>F133*AM133</f>
        <v>0</v>
      </c>
      <c r="AV133" s="77">
        <f>F133*AN133</f>
        <v>0</v>
      </c>
      <c r="AW133" s="79" t="s">
        <v>391</v>
      </c>
      <c r="AX133" s="79" t="s">
        <v>384</v>
      </c>
      <c r="AY133" s="71" t="s">
        <v>137</v>
      </c>
      <c r="BA133" s="77">
        <f>AU133+AV133</f>
        <v>0</v>
      </c>
      <c r="BB133" s="77">
        <f>G133/(100-BC133)*100</f>
        <v>0</v>
      </c>
      <c r="BC133" s="77">
        <v>0</v>
      </c>
      <c r="BD133" s="77">
        <f>L133</f>
        <v>0</v>
      </c>
      <c r="BF133" s="77">
        <f>F133*AM133</f>
        <v>0</v>
      </c>
      <c r="BG133" s="77">
        <f>F133*AN133</f>
        <v>0</v>
      </c>
      <c r="BH133" s="77">
        <f>F133*G133</f>
        <v>0</v>
      </c>
      <c r="BI133" s="77"/>
      <c r="BJ133" s="77"/>
      <c r="BU133" s="77" t="e">
        <f>#REF!</f>
        <v>#REF!</v>
      </c>
      <c r="BV133" s="70" t="s">
        <v>398</v>
      </c>
    </row>
    <row r="134" spans="1:74" ht="40.5" customHeight="1" x14ac:dyDescent="0.25">
      <c r="A134" s="104"/>
      <c r="B134" s="81" t="s">
        <v>138</v>
      </c>
      <c r="C134" s="303" t="s">
        <v>399</v>
      </c>
      <c r="D134" s="304"/>
      <c r="E134" s="304"/>
      <c r="F134" s="304"/>
      <c r="G134" s="304"/>
      <c r="H134" s="304"/>
      <c r="I134" s="304"/>
      <c r="J134" s="304"/>
      <c r="K134" s="304"/>
      <c r="L134" s="304"/>
      <c r="M134" s="305"/>
    </row>
    <row r="135" spans="1:74" ht="25.5" x14ac:dyDescent="0.25">
      <c r="A135" s="92" t="s">
        <v>296</v>
      </c>
      <c r="B135" s="69" t="s">
        <v>389</v>
      </c>
      <c r="C135" s="306" t="s">
        <v>400</v>
      </c>
      <c r="D135" s="307"/>
      <c r="E135" s="69" t="s">
        <v>281</v>
      </c>
      <c r="F135" s="77">
        <v>239.55</v>
      </c>
      <c r="G135" s="218">
        <v>0</v>
      </c>
      <c r="H135" s="77">
        <f>F135*AM135</f>
        <v>0</v>
      </c>
      <c r="I135" s="77">
        <f>F135*AN135</f>
        <v>0</v>
      </c>
      <c r="J135" s="77">
        <f>F135*G135</f>
        <v>0</v>
      </c>
      <c r="K135" s="77">
        <v>0</v>
      </c>
      <c r="L135" s="77">
        <f>F135*K135</f>
        <v>0</v>
      </c>
      <c r="M135" s="103" t="s">
        <v>35</v>
      </c>
      <c r="X135" s="77">
        <f>IF(AO135="5",BH135,0)</f>
        <v>0</v>
      </c>
      <c r="Z135" s="77">
        <f>IF(AO135="1",BF135,0)</f>
        <v>0</v>
      </c>
      <c r="AA135" s="77">
        <f>IF(AO135="1",BG135,0)</f>
        <v>0</v>
      </c>
      <c r="AB135" s="77">
        <f>IF(AO135="7",BF135,0)</f>
        <v>0</v>
      </c>
      <c r="AC135" s="77">
        <f>IF(AO135="7",BG135,0)</f>
        <v>0</v>
      </c>
      <c r="AD135" s="77">
        <f>IF(AO135="2",BF135,0)</f>
        <v>0</v>
      </c>
      <c r="AE135" s="77">
        <f>IF(AO135="2",BG135,0)</f>
        <v>0</v>
      </c>
      <c r="AF135" s="77">
        <f>IF(AO135="0",BH135,0)</f>
        <v>0</v>
      </c>
      <c r="AG135" s="71" t="s">
        <v>129</v>
      </c>
      <c r="AH135" s="77">
        <f>IF(AL135=0,J135,0)</f>
        <v>0</v>
      </c>
      <c r="AI135" s="77">
        <f>IF(AL135=15,J135,0)</f>
        <v>0</v>
      </c>
      <c r="AJ135" s="77">
        <f>IF(AL135=21,J135,0)</f>
        <v>0</v>
      </c>
      <c r="AL135" s="77">
        <v>15</v>
      </c>
      <c r="AM135" s="77">
        <f>G135*0</f>
        <v>0</v>
      </c>
      <c r="AN135" s="77">
        <f>G135*(1-0)</f>
        <v>0</v>
      </c>
      <c r="AO135" s="79" t="s">
        <v>158</v>
      </c>
      <c r="AT135" s="77">
        <f>AU135+AV135</f>
        <v>0</v>
      </c>
      <c r="AU135" s="77">
        <f>F135*AM135</f>
        <v>0</v>
      </c>
      <c r="AV135" s="77">
        <f>F135*AN135</f>
        <v>0</v>
      </c>
      <c r="AW135" s="79" t="s">
        <v>391</v>
      </c>
      <c r="AX135" s="79" t="s">
        <v>384</v>
      </c>
      <c r="AY135" s="71" t="s">
        <v>137</v>
      </c>
      <c r="BA135" s="77">
        <f>AU135+AV135</f>
        <v>0</v>
      </c>
      <c r="BB135" s="77">
        <f>G135/(100-BC135)*100</f>
        <v>0</v>
      </c>
      <c r="BC135" s="77">
        <v>0</v>
      </c>
      <c r="BD135" s="77">
        <f>L135</f>
        <v>0</v>
      </c>
      <c r="BF135" s="77">
        <f>F135*AM135</f>
        <v>0</v>
      </c>
      <c r="BG135" s="77">
        <f>F135*AN135</f>
        <v>0</v>
      </c>
      <c r="BH135" s="77">
        <f>F135*G135</f>
        <v>0</v>
      </c>
      <c r="BI135" s="77"/>
      <c r="BJ135" s="77"/>
      <c r="BU135" s="77" t="e">
        <f>#REF!</f>
        <v>#REF!</v>
      </c>
      <c r="BV135" s="70" t="s">
        <v>400</v>
      </c>
    </row>
    <row r="136" spans="1:74" x14ac:dyDescent="0.25">
      <c r="A136" s="105" t="s">
        <v>129</v>
      </c>
      <c r="B136" s="74" t="s">
        <v>401</v>
      </c>
      <c r="C136" s="314" t="s">
        <v>402</v>
      </c>
      <c r="D136" s="315"/>
      <c r="E136" s="75" t="s">
        <v>87</v>
      </c>
      <c r="F136" s="75" t="s">
        <v>87</v>
      </c>
      <c r="G136" s="75" t="s">
        <v>87</v>
      </c>
      <c r="H136" s="67">
        <f>SUM(H137:H139)</f>
        <v>0</v>
      </c>
      <c r="I136" s="67">
        <f>SUM(I137:I139)</f>
        <v>0</v>
      </c>
      <c r="J136" s="67">
        <f>SUM(J137:J139)</f>
        <v>0</v>
      </c>
      <c r="K136" s="71" t="s">
        <v>129</v>
      </c>
      <c r="L136" s="67">
        <f>SUM(L137:L139)</f>
        <v>0</v>
      </c>
      <c r="M136" s="106" t="s">
        <v>129</v>
      </c>
      <c r="AG136" s="71" t="s">
        <v>129</v>
      </c>
      <c r="AQ136" s="67">
        <f>SUM(AH137:AH139)</f>
        <v>0</v>
      </c>
      <c r="AR136" s="67">
        <f>SUM(AI137:AI139)</f>
        <v>0</v>
      </c>
      <c r="AS136" s="67">
        <f>SUM(AJ137:AJ139)</f>
        <v>0</v>
      </c>
    </row>
    <row r="137" spans="1:74" x14ac:dyDescent="0.25">
      <c r="A137" s="92" t="s">
        <v>403</v>
      </c>
      <c r="B137" s="69" t="s">
        <v>404</v>
      </c>
      <c r="C137" s="306" t="s">
        <v>405</v>
      </c>
      <c r="D137" s="307"/>
      <c r="E137" s="69" t="s">
        <v>281</v>
      </c>
      <c r="F137" s="77">
        <v>1.67</v>
      </c>
      <c r="G137" s="218">
        <v>0</v>
      </c>
      <c r="H137" s="77">
        <f>F137*AM137</f>
        <v>0</v>
      </c>
      <c r="I137" s="77">
        <f>F137*AN137</f>
        <v>0</v>
      </c>
      <c r="J137" s="77">
        <f>F137*G137</f>
        <v>0</v>
      </c>
      <c r="K137" s="77">
        <v>0</v>
      </c>
      <c r="L137" s="77">
        <f>F137*K137</f>
        <v>0</v>
      </c>
      <c r="M137" s="103" t="s">
        <v>35</v>
      </c>
      <c r="X137" s="77">
        <f>IF(AO137="5",BH137,0)</f>
        <v>0</v>
      </c>
      <c r="Z137" s="77">
        <f>IF(AO137="1",BF137,0)</f>
        <v>0</v>
      </c>
      <c r="AA137" s="77">
        <f>IF(AO137="1",BG137,0)</f>
        <v>0</v>
      </c>
      <c r="AB137" s="77">
        <f>IF(AO137="7",BF137,0)</f>
        <v>0</v>
      </c>
      <c r="AC137" s="77">
        <f>IF(AO137="7",BG137,0)</f>
        <v>0</v>
      </c>
      <c r="AD137" s="77">
        <f>IF(AO137="2",BF137,0)</f>
        <v>0</v>
      </c>
      <c r="AE137" s="77">
        <f>IF(AO137="2",BG137,0)</f>
        <v>0</v>
      </c>
      <c r="AF137" s="77">
        <f>IF(AO137="0",BH137,0)</f>
        <v>0</v>
      </c>
      <c r="AG137" s="71" t="s">
        <v>129</v>
      </c>
      <c r="AH137" s="77">
        <f>IF(AL137=0,J137,0)</f>
        <v>0</v>
      </c>
      <c r="AI137" s="77">
        <f>IF(AL137=15,J137,0)</f>
        <v>0</v>
      </c>
      <c r="AJ137" s="77">
        <f>IF(AL137=21,J137,0)</f>
        <v>0</v>
      </c>
      <c r="AL137" s="77">
        <v>15</v>
      </c>
      <c r="AM137" s="77">
        <f>G137*0</f>
        <v>0</v>
      </c>
      <c r="AN137" s="77">
        <f>G137*(1-0)</f>
        <v>0</v>
      </c>
      <c r="AO137" s="79" t="s">
        <v>158</v>
      </c>
      <c r="AT137" s="77">
        <f>AU137+AV137</f>
        <v>0</v>
      </c>
      <c r="AU137" s="77">
        <f>F137*AM137</f>
        <v>0</v>
      </c>
      <c r="AV137" s="77">
        <f>F137*AN137</f>
        <v>0</v>
      </c>
      <c r="AW137" s="79" t="s">
        <v>406</v>
      </c>
      <c r="AX137" s="79" t="s">
        <v>384</v>
      </c>
      <c r="AY137" s="71" t="s">
        <v>137</v>
      </c>
      <c r="BA137" s="77">
        <f>AU137+AV137</f>
        <v>0</v>
      </c>
      <c r="BB137" s="77">
        <f>G137/(100-BC137)*100</f>
        <v>0</v>
      </c>
      <c r="BC137" s="77">
        <v>0</v>
      </c>
      <c r="BD137" s="77">
        <f>L137</f>
        <v>0</v>
      </c>
      <c r="BF137" s="77">
        <f>F137*AM137</f>
        <v>0</v>
      </c>
      <c r="BG137" s="77">
        <f>F137*AN137</f>
        <v>0</v>
      </c>
      <c r="BH137" s="77">
        <f>F137*G137</f>
        <v>0</v>
      </c>
      <c r="BI137" s="77"/>
      <c r="BJ137" s="77"/>
      <c r="BU137" s="77" t="e">
        <f>#REF!</f>
        <v>#REF!</v>
      </c>
      <c r="BV137" s="70" t="s">
        <v>405</v>
      </c>
    </row>
    <row r="138" spans="1:74" x14ac:dyDescent="0.25">
      <c r="A138" s="92" t="s">
        <v>407</v>
      </c>
      <c r="B138" s="69" t="s">
        <v>408</v>
      </c>
      <c r="C138" s="306" t="s">
        <v>409</v>
      </c>
      <c r="D138" s="307"/>
      <c r="E138" s="69" t="s">
        <v>281</v>
      </c>
      <c r="F138" s="77">
        <v>130.18</v>
      </c>
      <c r="G138" s="218">
        <v>0</v>
      </c>
      <c r="H138" s="77">
        <f>F138*AM138</f>
        <v>0</v>
      </c>
      <c r="I138" s="77">
        <f>F138*AN138</f>
        <v>0</v>
      </c>
      <c r="J138" s="77">
        <f>F138*G138</f>
        <v>0</v>
      </c>
      <c r="K138" s="77">
        <v>0</v>
      </c>
      <c r="L138" s="77">
        <f>F138*K138</f>
        <v>0</v>
      </c>
      <c r="M138" s="103" t="s">
        <v>35</v>
      </c>
      <c r="X138" s="77">
        <f>IF(AO138="5",BH138,0)</f>
        <v>0</v>
      </c>
      <c r="Z138" s="77">
        <f>IF(AO138="1",BF138,0)</f>
        <v>0</v>
      </c>
      <c r="AA138" s="77">
        <f>IF(AO138="1",BG138,0)</f>
        <v>0</v>
      </c>
      <c r="AB138" s="77">
        <f>IF(AO138="7",BF138,0)</f>
        <v>0</v>
      </c>
      <c r="AC138" s="77">
        <f>IF(AO138="7",BG138,0)</f>
        <v>0</v>
      </c>
      <c r="AD138" s="77">
        <f>IF(AO138="2",BF138,0)</f>
        <v>0</v>
      </c>
      <c r="AE138" s="77">
        <f>IF(AO138="2",BG138,0)</f>
        <v>0</v>
      </c>
      <c r="AF138" s="77">
        <f>IF(AO138="0",BH138,0)</f>
        <v>0</v>
      </c>
      <c r="AG138" s="71" t="s">
        <v>129</v>
      </c>
      <c r="AH138" s="77">
        <f>IF(AL138=0,J138,0)</f>
        <v>0</v>
      </c>
      <c r="AI138" s="77">
        <f>IF(AL138=15,J138,0)</f>
        <v>0</v>
      </c>
      <c r="AJ138" s="77">
        <f>IF(AL138=21,J138,0)</f>
        <v>0</v>
      </c>
      <c r="AL138" s="77">
        <v>15</v>
      </c>
      <c r="AM138" s="77">
        <f>G138*0</f>
        <v>0</v>
      </c>
      <c r="AN138" s="77">
        <f>G138*(1-0)</f>
        <v>0</v>
      </c>
      <c r="AO138" s="79" t="s">
        <v>158</v>
      </c>
      <c r="AT138" s="77">
        <f>AU138+AV138</f>
        <v>0</v>
      </c>
      <c r="AU138" s="77">
        <f>F138*AM138</f>
        <v>0</v>
      </c>
      <c r="AV138" s="77">
        <f>F138*AN138</f>
        <v>0</v>
      </c>
      <c r="AW138" s="79" t="s">
        <v>406</v>
      </c>
      <c r="AX138" s="79" t="s">
        <v>384</v>
      </c>
      <c r="AY138" s="71" t="s">
        <v>137</v>
      </c>
      <c r="BA138" s="77">
        <f>AU138+AV138</f>
        <v>0</v>
      </c>
      <c r="BB138" s="77">
        <f>G138/(100-BC138)*100</f>
        <v>0</v>
      </c>
      <c r="BC138" s="77">
        <v>0</v>
      </c>
      <c r="BD138" s="77">
        <f>L138</f>
        <v>0</v>
      </c>
      <c r="BF138" s="77">
        <f>F138*AM138</f>
        <v>0</v>
      </c>
      <c r="BG138" s="77">
        <f>F138*AN138</f>
        <v>0</v>
      </c>
      <c r="BH138" s="77">
        <f>F138*G138</f>
        <v>0</v>
      </c>
      <c r="BI138" s="77"/>
      <c r="BJ138" s="77"/>
      <c r="BU138" s="77" t="e">
        <f>#REF!</f>
        <v>#REF!</v>
      </c>
      <c r="BV138" s="70" t="s">
        <v>409</v>
      </c>
    </row>
    <row r="139" spans="1:74" ht="15.75" thickBot="1" x14ac:dyDescent="0.3">
      <c r="A139" s="93" t="s">
        <v>410</v>
      </c>
      <c r="B139" s="94" t="s">
        <v>411</v>
      </c>
      <c r="C139" s="316" t="s">
        <v>412</v>
      </c>
      <c r="D139" s="317"/>
      <c r="E139" s="94" t="s">
        <v>281</v>
      </c>
      <c r="F139" s="125">
        <v>11.11</v>
      </c>
      <c r="G139" s="220">
        <v>0</v>
      </c>
      <c r="H139" s="125">
        <f>F139*AM139</f>
        <v>0</v>
      </c>
      <c r="I139" s="125">
        <f>F139*AN139</f>
        <v>0</v>
      </c>
      <c r="J139" s="125">
        <f>F139*G139</f>
        <v>0</v>
      </c>
      <c r="K139" s="125">
        <v>0</v>
      </c>
      <c r="L139" s="125">
        <f>F139*K139</f>
        <v>0</v>
      </c>
      <c r="M139" s="126" t="s">
        <v>35</v>
      </c>
      <c r="X139" s="77">
        <f>IF(AO139="5",BH139,0)</f>
        <v>0</v>
      </c>
      <c r="Z139" s="77">
        <f>IF(AO139="1",BF139,0)</f>
        <v>0</v>
      </c>
      <c r="AA139" s="77">
        <f>IF(AO139="1",BG139,0)</f>
        <v>0</v>
      </c>
      <c r="AB139" s="77">
        <f>IF(AO139="7",BF139,0)</f>
        <v>0</v>
      </c>
      <c r="AC139" s="77">
        <f>IF(AO139="7",BG139,0)</f>
        <v>0</v>
      </c>
      <c r="AD139" s="77">
        <f>IF(AO139="2",BF139,0)</f>
        <v>0</v>
      </c>
      <c r="AE139" s="77">
        <f>IF(AO139="2",BG139,0)</f>
        <v>0</v>
      </c>
      <c r="AF139" s="77">
        <f>IF(AO139="0",BH139,0)</f>
        <v>0</v>
      </c>
      <c r="AG139" s="71" t="s">
        <v>129</v>
      </c>
      <c r="AH139" s="77">
        <f>IF(AL139=0,J139,0)</f>
        <v>0</v>
      </c>
      <c r="AI139" s="77">
        <f>IF(AL139=15,J139,0)</f>
        <v>0</v>
      </c>
      <c r="AJ139" s="77">
        <f>IF(AL139=21,J139,0)</f>
        <v>0</v>
      </c>
      <c r="AL139" s="77">
        <v>15</v>
      </c>
      <c r="AM139" s="77">
        <f>G139*0</f>
        <v>0</v>
      </c>
      <c r="AN139" s="77">
        <f>G139*(1-0)</f>
        <v>0</v>
      </c>
      <c r="AO139" s="79" t="s">
        <v>158</v>
      </c>
      <c r="AT139" s="77">
        <f>AU139+AV139</f>
        <v>0</v>
      </c>
      <c r="AU139" s="77">
        <f>F139*AM139</f>
        <v>0</v>
      </c>
      <c r="AV139" s="77">
        <f>F139*AN139</f>
        <v>0</v>
      </c>
      <c r="AW139" s="79" t="s">
        <v>406</v>
      </c>
      <c r="AX139" s="79" t="s">
        <v>384</v>
      </c>
      <c r="AY139" s="71" t="s">
        <v>137</v>
      </c>
      <c r="BA139" s="77">
        <f>AU139+AV139</f>
        <v>0</v>
      </c>
      <c r="BB139" s="77">
        <f>G139/(100-BC139)*100</f>
        <v>0</v>
      </c>
      <c r="BC139" s="77">
        <v>0</v>
      </c>
      <c r="BD139" s="77">
        <f>L139</f>
        <v>0</v>
      </c>
      <c r="BF139" s="77">
        <f>F139*AM139</f>
        <v>0</v>
      </c>
      <c r="BG139" s="77">
        <f>F139*AN139</f>
        <v>0</v>
      </c>
      <c r="BH139" s="77">
        <f>F139*G139</f>
        <v>0</v>
      </c>
      <c r="BI139" s="77"/>
      <c r="BJ139" s="77"/>
      <c r="BU139" s="77" t="e">
        <f>#REF!</f>
        <v>#REF!</v>
      </c>
      <c r="BV139" s="70" t="s">
        <v>412</v>
      </c>
    </row>
    <row r="140" spans="1:74" x14ac:dyDescent="0.25">
      <c r="A140" s="97" t="s">
        <v>129</v>
      </c>
      <c r="B140" s="98" t="s">
        <v>413</v>
      </c>
      <c r="C140" s="318" t="s">
        <v>414</v>
      </c>
      <c r="D140" s="319"/>
      <c r="E140" s="99" t="s">
        <v>87</v>
      </c>
      <c r="F140" s="99" t="s">
        <v>87</v>
      </c>
      <c r="G140" s="99" t="s">
        <v>87</v>
      </c>
      <c r="H140" s="100">
        <f>SUM(H141:H167)</f>
        <v>0</v>
      </c>
      <c r="I140" s="100">
        <f>SUM(I141:I167)</f>
        <v>0</v>
      </c>
      <c r="J140" s="100">
        <f>SUM(J141:J167)</f>
        <v>0</v>
      </c>
      <c r="K140" s="101" t="s">
        <v>129</v>
      </c>
      <c r="L140" s="100">
        <f>SUM(L141:L167)</f>
        <v>10.561936200000002</v>
      </c>
      <c r="M140" s="102" t="s">
        <v>129</v>
      </c>
      <c r="AG140" s="71" t="s">
        <v>129</v>
      </c>
      <c r="AQ140" s="67">
        <f>SUM(AH141:AH167)</f>
        <v>0</v>
      </c>
      <c r="AR140" s="67">
        <f>SUM(AI141:AI167)</f>
        <v>0</v>
      </c>
      <c r="AS140" s="67">
        <f>SUM(AJ141:AJ167)</f>
        <v>0</v>
      </c>
    </row>
    <row r="141" spans="1:74" x14ac:dyDescent="0.25">
      <c r="A141" s="92" t="s">
        <v>415</v>
      </c>
      <c r="B141" s="69" t="s">
        <v>886</v>
      </c>
      <c r="C141" s="306" t="s">
        <v>887</v>
      </c>
      <c r="D141" s="307"/>
      <c r="E141" s="69" t="s">
        <v>325</v>
      </c>
      <c r="F141" s="77">
        <v>11.43</v>
      </c>
      <c r="G141" s="218">
        <v>0</v>
      </c>
      <c r="H141" s="77">
        <f>F141*AM141</f>
        <v>0</v>
      </c>
      <c r="I141" s="77">
        <f>F141*AN141</f>
        <v>0</v>
      </c>
      <c r="J141" s="77">
        <f>F141*G141</f>
        <v>0</v>
      </c>
      <c r="K141" s="77">
        <v>9.9519999999999997E-2</v>
      </c>
      <c r="L141" s="77">
        <f>F141*K141</f>
        <v>1.1375135999999999</v>
      </c>
      <c r="M141" s="103" t="s">
        <v>35</v>
      </c>
      <c r="X141" s="77">
        <f>IF(AO141="5",BH141,0)</f>
        <v>0</v>
      </c>
      <c r="Z141" s="77">
        <f>IF(AO141="1",BF141,0)</f>
        <v>0</v>
      </c>
      <c r="AA141" s="77">
        <f>IF(AO141="1",BG141,0)</f>
        <v>0</v>
      </c>
      <c r="AB141" s="77">
        <f>IF(AO141="7",BF141,0)</f>
        <v>0</v>
      </c>
      <c r="AC141" s="77">
        <f>IF(AO141="7",BG141,0)</f>
        <v>0</v>
      </c>
      <c r="AD141" s="77">
        <f>IF(AO141="2",BF141,0)</f>
        <v>0</v>
      </c>
      <c r="AE141" s="77">
        <f>IF(AO141="2",BG141,0)</f>
        <v>0</v>
      </c>
      <c r="AF141" s="77">
        <f>IF(AO141="0",BH141,0)</f>
        <v>0</v>
      </c>
      <c r="AG141" s="71" t="s">
        <v>129</v>
      </c>
      <c r="AH141" s="77">
        <f>IF(AL141=0,J141,0)</f>
        <v>0</v>
      </c>
      <c r="AI141" s="77">
        <f>IF(AL141=15,J141,0)</f>
        <v>0</v>
      </c>
      <c r="AJ141" s="77">
        <f>IF(AL141=21,J141,0)</f>
        <v>0</v>
      </c>
      <c r="AL141" s="77">
        <v>15</v>
      </c>
      <c r="AM141" s="77">
        <f>G141*1</f>
        <v>0</v>
      </c>
      <c r="AN141" s="77">
        <f>G141*(1-1)</f>
        <v>0</v>
      </c>
      <c r="AO141" s="79" t="s">
        <v>130</v>
      </c>
      <c r="AT141" s="77">
        <f>AU141+AV141</f>
        <v>0</v>
      </c>
      <c r="AU141" s="77">
        <f>F141*AM141</f>
        <v>0</v>
      </c>
      <c r="AV141" s="77">
        <f>F141*AN141</f>
        <v>0</v>
      </c>
      <c r="AW141" s="79" t="s">
        <v>416</v>
      </c>
      <c r="AX141" s="79" t="s">
        <v>417</v>
      </c>
      <c r="AY141" s="71" t="s">
        <v>137</v>
      </c>
      <c r="BA141" s="77">
        <f>AU141+AV141</f>
        <v>0</v>
      </c>
      <c r="BB141" s="77">
        <f>G141/(100-BC141)*100</f>
        <v>0</v>
      </c>
      <c r="BC141" s="77">
        <v>0</v>
      </c>
      <c r="BD141" s="77">
        <f>L141</f>
        <v>1.1375135999999999</v>
      </c>
      <c r="BF141" s="77">
        <f>F141*AM141</f>
        <v>0</v>
      </c>
      <c r="BG141" s="77">
        <f>F141*AN141</f>
        <v>0</v>
      </c>
      <c r="BH141" s="77">
        <f>F141*G141</f>
        <v>0</v>
      </c>
      <c r="BI141" s="77"/>
      <c r="BJ141" s="77"/>
      <c r="BU141" s="77" t="e">
        <f>#REF!</f>
        <v>#REF!</v>
      </c>
      <c r="BV141" s="70" t="s">
        <v>887</v>
      </c>
    </row>
    <row r="142" spans="1:74" ht="67.5" customHeight="1" x14ac:dyDescent="0.25">
      <c r="A142" s="104"/>
      <c r="B142" s="81" t="s">
        <v>138</v>
      </c>
      <c r="C142" s="303" t="s">
        <v>418</v>
      </c>
      <c r="D142" s="304"/>
      <c r="E142" s="304"/>
      <c r="F142" s="304"/>
      <c r="G142" s="304"/>
      <c r="H142" s="304"/>
      <c r="I142" s="304"/>
      <c r="J142" s="304"/>
      <c r="K142" s="304"/>
      <c r="L142" s="304"/>
      <c r="M142" s="305"/>
    </row>
    <row r="143" spans="1:74" x14ac:dyDescent="0.25">
      <c r="A143" s="92" t="s">
        <v>419</v>
      </c>
      <c r="B143" s="69" t="s">
        <v>889</v>
      </c>
      <c r="C143" s="306" t="s">
        <v>890</v>
      </c>
      <c r="D143" s="307"/>
      <c r="E143" s="69" t="s">
        <v>325</v>
      </c>
      <c r="F143" s="77">
        <v>7.62</v>
      </c>
      <c r="G143" s="218">
        <v>0</v>
      </c>
      <c r="H143" s="77">
        <f>F143*AM143</f>
        <v>0</v>
      </c>
      <c r="I143" s="77">
        <f>F143*AN143</f>
        <v>0</v>
      </c>
      <c r="J143" s="77">
        <f>F143*G143</f>
        <v>0</v>
      </c>
      <c r="K143" s="77">
        <v>4.9759999999999999E-2</v>
      </c>
      <c r="L143" s="77">
        <f>F143*K143</f>
        <v>0.37917119999999999</v>
      </c>
      <c r="M143" s="103" t="s">
        <v>35</v>
      </c>
      <c r="X143" s="77">
        <f>IF(AO143="5",BH143,0)</f>
        <v>0</v>
      </c>
      <c r="Z143" s="77">
        <f>IF(AO143="1",BF143,0)</f>
        <v>0</v>
      </c>
      <c r="AA143" s="77">
        <f>IF(AO143="1",BG143,0)</f>
        <v>0</v>
      </c>
      <c r="AB143" s="77">
        <f>IF(AO143="7",BF143,0)</f>
        <v>0</v>
      </c>
      <c r="AC143" s="77">
        <f>IF(AO143="7",BG143,0)</f>
        <v>0</v>
      </c>
      <c r="AD143" s="77">
        <f>IF(AO143="2",BF143,0)</f>
        <v>0</v>
      </c>
      <c r="AE143" s="77">
        <f>IF(AO143="2",BG143,0)</f>
        <v>0</v>
      </c>
      <c r="AF143" s="77">
        <f>IF(AO143="0",BH143,0)</f>
        <v>0</v>
      </c>
      <c r="AG143" s="71" t="s">
        <v>129</v>
      </c>
      <c r="AH143" s="77">
        <f>IF(AL143=0,J143,0)</f>
        <v>0</v>
      </c>
      <c r="AI143" s="77">
        <f>IF(AL143=15,J143,0)</f>
        <v>0</v>
      </c>
      <c r="AJ143" s="77">
        <f>IF(AL143=21,J143,0)</f>
        <v>0</v>
      </c>
      <c r="AL143" s="77">
        <v>15</v>
      </c>
      <c r="AM143" s="77">
        <f>G143*1</f>
        <v>0</v>
      </c>
      <c r="AN143" s="77">
        <f>G143*(1-1)</f>
        <v>0</v>
      </c>
      <c r="AO143" s="79" t="s">
        <v>130</v>
      </c>
      <c r="AT143" s="77">
        <f>AU143+AV143</f>
        <v>0</v>
      </c>
      <c r="AU143" s="77">
        <f>F143*AM143</f>
        <v>0</v>
      </c>
      <c r="AV143" s="77">
        <f>F143*AN143</f>
        <v>0</v>
      </c>
      <c r="AW143" s="79" t="s">
        <v>416</v>
      </c>
      <c r="AX143" s="79" t="s">
        <v>417</v>
      </c>
      <c r="AY143" s="71" t="s">
        <v>137</v>
      </c>
      <c r="BA143" s="77">
        <f>AU143+AV143</f>
        <v>0</v>
      </c>
      <c r="BB143" s="77">
        <f>G143/(100-BC143)*100</f>
        <v>0</v>
      </c>
      <c r="BC143" s="77">
        <v>0</v>
      </c>
      <c r="BD143" s="77">
        <f>L143</f>
        <v>0.37917119999999999</v>
      </c>
      <c r="BF143" s="77">
        <f>F143*AM143</f>
        <v>0</v>
      </c>
      <c r="BG143" s="77">
        <f>F143*AN143</f>
        <v>0</v>
      </c>
      <c r="BH143" s="77">
        <f>F143*G143</f>
        <v>0</v>
      </c>
      <c r="BI143" s="77"/>
      <c r="BJ143" s="77"/>
      <c r="BU143" s="77" t="e">
        <f>#REF!</f>
        <v>#REF!</v>
      </c>
      <c r="BV143" s="70" t="s">
        <v>890</v>
      </c>
    </row>
    <row r="144" spans="1:74" ht="67.5" customHeight="1" x14ac:dyDescent="0.25">
      <c r="A144" s="104"/>
      <c r="B144" s="81" t="s">
        <v>138</v>
      </c>
      <c r="C144" s="303" t="s">
        <v>420</v>
      </c>
      <c r="D144" s="304"/>
      <c r="E144" s="304"/>
      <c r="F144" s="304"/>
      <c r="G144" s="304"/>
      <c r="H144" s="304"/>
      <c r="I144" s="304"/>
      <c r="J144" s="304"/>
      <c r="K144" s="304"/>
      <c r="L144" s="304"/>
      <c r="M144" s="305"/>
    </row>
    <row r="145" spans="1:74" x14ac:dyDescent="0.25">
      <c r="A145" s="92" t="s">
        <v>421</v>
      </c>
      <c r="B145" s="69" t="s">
        <v>422</v>
      </c>
      <c r="C145" s="306" t="s">
        <v>423</v>
      </c>
      <c r="D145" s="307"/>
      <c r="E145" s="69" t="s">
        <v>325</v>
      </c>
      <c r="F145" s="77">
        <v>6</v>
      </c>
      <c r="G145" s="218">
        <v>0</v>
      </c>
      <c r="H145" s="77">
        <f>F145*AM145</f>
        <v>0</v>
      </c>
      <c r="I145" s="77">
        <f>F145*AN145</f>
        <v>0</v>
      </c>
      <c r="J145" s="77">
        <f>F145*G145</f>
        <v>0</v>
      </c>
      <c r="K145" s="77">
        <v>6.13E-3</v>
      </c>
      <c r="L145" s="77">
        <f>F145*K145</f>
        <v>3.678E-2</v>
      </c>
      <c r="M145" s="103" t="s">
        <v>35</v>
      </c>
      <c r="X145" s="77">
        <f>IF(AO145="5",BH145,0)</f>
        <v>0</v>
      </c>
      <c r="Z145" s="77">
        <f>IF(AO145="1",BF145,0)</f>
        <v>0</v>
      </c>
      <c r="AA145" s="77">
        <f>IF(AO145="1",BG145,0)</f>
        <v>0</v>
      </c>
      <c r="AB145" s="77">
        <f>IF(AO145="7",BF145,0)</f>
        <v>0</v>
      </c>
      <c r="AC145" s="77">
        <f>IF(AO145="7",BG145,0)</f>
        <v>0</v>
      </c>
      <c r="AD145" s="77">
        <f>IF(AO145="2",BF145,0)</f>
        <v>0</v>
      </c>
      <c r="AE145" s="77">
        <f>IF(AO145="2",BG145,0)</f>
        <v>0</v>
      </c>
      <c r="AF145" s="77">
        <f>IF(AO145="0",BH145,0)</f>
        <v>0</v>
      </c>
      <c r="AG145" s="71" t="s">
        <v>129</v>
      </c>
      <c r="AH145" s="77">
        <f>IF(AL145=0,J145,0)</f>
        <v>0</v>
      </c>
      <c r="AI145" s="77">
        <f>IF(AL145=15,J145,0)</f>
        <v>0</v>
      </c>
      <c r="AJ145" s="77">
        <f>IF(AL145=21,J145,0)</f>
        <v>0</v>
      </c>
      <c r="AL145" s="77">
        <v>15</v>
      </c>
      <c r="AM145" s="77">
        <f>G145*1</f>
        <v>0</v>
      </c>
      <c r="AN145" s="77">
        <f>G145*(1-1)</f>
        <v>0</v>
      </c>
      <c r="AO145" s="79" t="s">
        <v>130</v>
      </c>
      <c r="AT145" s="77">
        <f>AU145+AV145</f>
        <v>0</v>
      </c>
      <c r="AU145" s="77">
        <f>F145*AM145</f>
        <v>0</v>
      </c>
      <c r="AV145" s="77">
        <f>F145*AN145</f>
        <v>0</v>
      </c>
      <c r="AW145" s="79" t="s">
        <v>416</v>
      </c>
      <c r="AX145" s="79" t="s">
        <v>417</v>
      </c>
      <c r="AY145" s="71" t="s">
        <v>137</v>
      </c>
      <c r="BA145" s="77">
        <f>AU145+AV145</f>
        <v>0</v>
      </c>
      <c r="BB145" s="77">
        <f>G145/(100-BC145)*100</f>
        <v>0</v>
      </c>
      <c r="BC145" s="77">
        <v>0</v>
      </c>
      <c r="BD145" s="77">
        <f>L145</f>
        <v>3.678E-2</v>
      </c>
      <c r="BF145" s="77">
        <f>F145*AM145</f>
        <v>0</v>
      </c>
      <c r="BG145" s="77">
        <f>F145*AN145</f>
        <v>0</v>
      </c>
      <c r="BH145" s="77">
        <f>F145*G145</f>
        <v>0</v>
      </c>
      <c r="BI145" s="77"/>
      <c r="BJ145" s="77"/>
      <c r="BU145" s="77" t="e">
        <f>#REF!</f>
        <v>#REF!</v>
      </c>
      <c r="BV145" s="70" t="s">
        <v>423</v>
      </c>
    </row>
    <row r="146" spans="1:74" ht="40.5" customHeight="1" x14ac:dyDescent="0.25">
      <c r="A146" s="104"/>
      <c r="B146" s="81" t="s">
        <v>138</v>
      </c>
      <c r="C146" s="303" t="s">
        <v>424</v>
      </c>
      <c r="D146" s="304"/>
      <c r="E146" s="304"/>
      <c r="F146" s="304"/>
      <c r="G146" s="304"/>
      <c r="H146" s="304"/>
      <c r="I146" s="304"/>
      <c r="J146" s="304"/>
      <c r="K146" s="304"/>
      <c r="L146" s="304"/>
      <c r="M146" s="305"/>
    </row>
    <row r="147" spans="1:74" x14ac:dyDescent="0.25">
      <c r="A147" s="92" t="s">
        <v>425</v>
      </c>
      <c r="B147" s="69" t="s">
        <v>426</v>
      </c>
      <c r="C147" s="306" t="s">
        <v>427</v>
      </c>
      <c r="D147" s="307"/>
      <c r="E147" s="69" t="s">
        <v>325</v>
      </c>
      <c r="F147" s="77">
        <v>1</v>
      </c>
      <c r="G147" s="218">
        <v>0</v>
      </c>
      <c r="H147" s="77">
        <f>F147*AM147</f>
        <v>0</v>
      </c>
      <c r="I147" s="77">
        <f>F147*AN147</f>
        <v>0</v>
      </c>
      <c r="J147" s="77">
        <f>F147*G147</f>
        <v>0</v>
      </c>
      <c r="K147" s="77">
        <v>1.32E-2</v>
      </c>
      <c r="L147" s="77">
        <f>F147*K147</f>
        <v>1.32E-2</v>
      </c>
      <c r="M147" s="103" t="s">
        <v>35</v>
      </c>
      <c r="X147" s="77">
        <f>IF(AO147="5",BH147,0)</f>
        <v>0</v>
      </c>
      <c r="Z147" s="77">
        <f>IF(AO147="1",BF147,0)</f>
        <v>0</v>
      </c>
      <c r="AA147" s="77">
        <f>IF(AO147="1",BG147,0)</f>
        <v>0</v>
      </c>
      <c r="AB147" s="77">
        <f>IF(AO147="7",BF147,0)</f>
        <v>0</v>
      </c>
      <c r="AC147" s="77">
        <f>IF(AO147="7",BG147,0)</f>
        <v>0</v>
      </c>
      <c r="AD147" s="77">
        <f>IF(AO147="2",BF147,0)</f>
        <v>0</v>
      </c>
      <c r="AE147" s="77">
        <f>IF(AO147="2",BG147,0)</f>
        <v>0</v>
      </c>
      <c r="AF147" s="77">
        <f>IF(AO147="0",BH147,0)</f>
        <v>0</v>
      </c>
      <c r="AG147" s="71" t="s">
        <v>129</v>
      </c>
      <c r="AH147" s="77">
        <f>IF(AL147=0,J147,0)</f>
        <v>0</v>
      </c>
      <c r="AI147" s="77">
        <f>IF(AL147=15,J147,0)</f>
        <v>0</v>
      </c>
      <c r="AJ147" s="77">
        <f>IF(AL147=21,J147,0)</f>
        <v>0</v>
      </c>
      <c r="AL147" s="77">
        <v>15</v>
      </c>
      <c r="AM147" s="77">
        <f>G147*1</f>
        <v>0</v>
      </c>
      <c r="AN147" s="77">
        <f>G147*(1-1)</f>
        <v>0</v>
      </c>
      <c r="AO147" s="79" t="s">
        <v>130</v>
      </c>
      <c r="AT147" s="77">
        <f>AU147+AV147</f>
        <v>0</v>
      </c>
      <c r="AU147" s="77">
        <f>F147*AM147</f>
        <v>0</v>
      </c>
      <c r="AV147" s="77">
        <f>F147*AN147</f>
        <v>0</v>
      </c>
      <c r="AW147" s="79" t="s">
        <v>416</v>
      </c>
      <c r="AX147" s="79" t="s">
        <v>417</v>
      </c>
      <c r="AY147" s="71" t="s">
        <v>137</v>
      </c>
      <c r="BA147" s="77">
        <f>AU147+AV147</f>
        <v>0</v>
      </c>
      <c r="BB147" s="77">
        <f>G147/(100-BC147)*100</f>
        <v>0</v>
      </c>
      <c r="BC147" s="77">
        <v>0</v>
      </c>
      <c r="BD147" s="77">
        <f>L147</f>
        <v>1.32E-2</v>
      </c>
      <c r="BF147" s="77">
        <f>F147*AM147</f>
        <v>0</v>
      </c>
      <c r="BG147" s="77">
        <f>F147*AN147</f>
        <v>0</v>
      </c>
      <c r="BH147" s="77">
        <f>F147*G147</f>
        <v>0</v>
      </c>
      <c r="BI147" s="77"/>
      <c r="BJ147" s="77"/>
      <c r="BU147" s="77" t="e">
        <f>#REF!</f>
        <v>#REF!</v>
      </c>
      <c r="BV147" s="70" t="s">
        <v>427</v>
      </c>
    </row>
    <row r="148" spans="1:74" ht="40.5" customHeight="1" x14ac:dyDescent="0.25">
      <c r="A148" s="104"/>
      <c r="B148" s="81" t="s">
        <v>138</v>
      </c>
      <c r="C148" s="303" t="s">
        <v>428</v>
      </c>
      <c r="D148" s="304"/>
      <c r="E148" s="304"/>
      <c r="F148" s="304"/>
      <c r="G148" s="304"/>
      <c r="H148" s="304"/>
      <c r="I148" s="304"/>
      <c r="J148" s="304"/>
      <c r="K148" s="304"/>
      <c r="L148" s="304"/>
      <c r="M148" s="305"/>
    </row>
    <row r="149" spans="1:74" x14ac:dyDescent="0.25">
      <c r="A149" s="92" t="s">
        <v>429</v>
      </c>
      <c r="B149" s="69" t="s">
        <v>430</v>
      </c>
      <c r="C149" s="306" t="s">
        <v>431</v>
      </c>
      <c r="D149" s="307"/>
      <c r="E149" s="69" t="s">
        <v>325</v>
      </c>
      <c r="F149" s="77">
        <v>1.01</v>
      </c>
      <c r="G149" s="218">
        <v>0</v>
      </c>
      <c r="H149" s="77">
        <f>F149*AM149</f>
        <v>0</v>
      </c>
      <c r="I149" s="77">
        <f>F149*AN149</f>
        <v>0</v>
      </c>
      <c r="J149" s="77">
        <f>F149*G149</f>
        <v>0</v>
      </c>
      <c r="K149" s="77">
        <v>4.7200000000000002E-3</v>
      </c>
      <c r="L149" s="77">
        <f>F149*K149</f>
        <v>4.7672000000000001E-3</v>
      </c>
      <c r="M149" s="103" t="s">
        <v>35</v>
      </c>
      <c r="X149" s="77">
        <f>IF(AO149="5",BH149,0)</f>
        <v>0</v>
      </c>
      <c r="Z149" s="77">
        <f>IF(AO149="1",BF149,0)</f>
        <v>0</v>
      </c>
      <c r="AA149" s="77">
        <f>IF(AO149="1",BG149,0)</f>
        <v>0</v>
      </c>
      <c r="AB149" s="77">
        <f>IF(AO149="7",BF149,0)</f>
        <v>0</v>
      </c>
      <c r="AC149" s="77">
        <f>IF(AO149="7",BG149,0)</f>
        <v>0</v>
      </c>
      <c r="AD149" s="77">
        <f>IF(AO149="2",BF149,0)</f>
        <v>0</v>
      </c>
      <c r="AE149" s="77">
        <f>IF(AO149="2",BG149,0)</f>
        <v>0</v>
      </c>
      <c r="AF149" s="77">
        <f>IF(AO149="0",BH149,0)</f>
        <v>0</v>
      </c>
      <c r="AG149" s="71" t="s">
        <v>129</v>
      </c>
      <c r="AH149" s="77">
        <f>IF(AL149=0,J149,0)</f>
        <v>0</v>
      </c>
      <c r="AI149" s="77">
        <f>IF(AL149=15,J149,0)</f>
        <v>0</v>
      </c>
      <c r="AJ149" s="77">
        <f>IF(AL149=21,J149,0)</f>
        <v>0</v>
      </c>
      <c r="AL149" s="77">
        <v>15</v>
      </c>
      <c r="AM149" s="77">
        <f>G149*1</f>
        <v>0</v>
      </c>
      <c r="AN149" s="77">
        <f>G149*(1-1)</f>
        <v>0</v>
      </c>
      <c r="AO149" s="79" t="s">
        <v>130</v>
      </c>
      <c r="AT149" s="77">
        <f>AU149+AV149</f>
        <v>0</v>
      </c>
      <c r="AU149" s="77">
        <f>F149*AM149</f>
        <v>0</v>
      </c>
      <c r="AV149" s="77">
        <f>F149*AN149</f>
        <v>0</v>
      </c>
      <c r="AW149" s="79" t="s">
        <v>416</v>
      </c>
      <c r="AX149" s="79" t="s">
        <v>417</v>
      </c>
      <c r="AY149" s="71" t="s">
        <v>137</v>
      </c>
      <c r="BA149" s="77">
        <f>AU149+AV149</f>
        <v>0</v>
      </c>
      <c r="BB149" s="77">
        <f>G149/(100-BC149)*100</f>
        <v>0</v>
      </c>
      <c r="BC149" s="77">
        <v>0</v>
      </c>
      <c r="BD149" s="77">
        <f>L149</f>
        <v>4.7672000000000001E-3</v>
      </c>
      <c r="BF149" s="77">
        <f>F149*AM149</f>
        <v>0</v>
      </c>
      <c r="BG149" s="77">
        <f>F149*AN149</f>
        <v>0</v>
      </c>
      <c r="BH149" s="77">
        <f>F149*G149</f>
        <v>0</v>
      </c>
      <c r="BI149" s="77"/>
      <c r="BJ149" s="77"/>
      <c r="BU149" s="77" t="e">
        <f>#REF!</f>
        <v>#REF!</v>
      </c>
      <c r="BV149" s="70" t="s">
        <v>431</v>
      </c>
    </row>
    <row r="150" spans="1:74" ht="54" customHeight="1" x14ac:dyDescent="0.25">
      <c r="A150" s="104"/>
      <c r="B150" s="81" t="s">
        <v>138</v>
      </c>
      <c r="C150" s="303" t="s">
        <v>432</v>
      </c>
      <c r="D150" s="304"/>
      <c r="E150" s="304"/>
      <c r="F150" s="304"/>
      <c r="G150" s="304"/>
      <c r="H150" s="304"/>
      <c r="I150" s="304"/>
      <c r="J150" s="304"/>
      <c r="K150" s="304"/>
      <c r="L150" s="304"/>
      <c r="M150" s="305"/>
    </row>
    <row r="151" spans="1:74" x14ac:dyDescent="0.25">
      <c r="A151" s="92" t="s">
        <v>433</v>
      </c>
      <c r="B151" s="69" t="s">
        <v>434</v>
      </c>
      <c r="C151" s="306" t="s">
        <v>435</v>
      </c>
      <c r="D151" s="307"/>
      <c r="E151" s="69" t="s">
        <v>325</v>
      </c>
      <c r="F151" s="77">
        <v>4.0599999999999996</v>
      </c>
      <c r="G151" s="218">
        <v>0</v>
      </c>
      <c r="H151" s="77">
        <f>F151*AM151</f>
        <v>0</v>
      </c>
      <c r="I151" s="77">
        <f>F151*AN151</f>
        <v>0</v>
      </c>
      <c r="J151" s="77">
        <f>F151*G151</f>
        <v>0</v>
      </c>
      <c r="K151" s="77">
        <v>4.2100000000000002E-3</v>
      </c>
      <c r="L151" s="77">
        <f>F151*K151</f>
        <v>1.7092599999999999E-2</v>
      </c>
      <c r="M151" s="103" t="s">
        <v>35</v>
      </c>
      <c r="X151" s="77">
        <f>IF(AO151="5",BH151,0)</f>
        <v>0</v>
      </c>
      <c r="Z151" s="77">
        <f>IF(AO151="1",BF151,0)</f>
        <v>0</v>
      </c>
      <c r="AA151" s="77">
        <f>IF(AO151="1",BG151,0)</f>
        <v>0</v>
      </c>
      <c r="AB151" s="77">
        <f>IF(AO151="7",BF151,0)</f>
        <v>0</v>
      </c>
      <c r="AC151" s="77">
        <f>IF(AO151="7",BG151,0)</f>
        <v>0</v>
      </c>
      <c r="AD151" s="77">
        <f>IF(AO151="2",BF151,0)</f>
        <v>0</v>
      </c>
      <c r="AE151" s="77">
        <f>IF(AO151="2",BG151,0)</f>
        <v>0</v>
      </c>
      <c r="AF151" s="77">
        <f>IF(AO151="0",BH151,0)</f>
        <v>0</v>
      </c>
      <c r="AG151" s="71" t="s">
        <v>129</v>
      </c>
      <c r="AH151" s="77">
        <f>IF(AL151=0,J151,0)</f>
        <v>0</v>
      </c>
      <c r="AI151" s="77">
        <f>IF(AL151=15,J151,0)</f>
        <v>0</v>
      </c>
      <c r="AJ151" s="77">
        <f>IF(AL151=21,J151,0)</f>
        <v>0</v>
      </c>
      <c r="AL151" s="77">
        <v>15</v>
      </c>
      <c r="AM151" s="77">
        <f>G151*1</f>
        <v>0</v>
      </c>
      <c r="AN151" s="77">
        <f>G151*(1-1)</f>
        <v>0</v>
      </c>
      <c r="AO151" s="79" t="s">
        <v>130</v>
      </c>
      <c r="AT151" s="77">
        <f>AU151+AV151</f>
        <v>0</v>
      </c>
      <c r="AU151" s="77">
        <f>F151*AM151</f>
        <v>0</v>
      </c>
      <c r="AV151" s="77">
        <f>F151*AN151</f>
        <v>0</v>
      </c>
      <c r="AW151" s="79" t="s">
        <v>416</v>
      </c>
      <c r="AX151" s="79" t="s">
        <v>417</v>
      </c>
      <c r="AY151" s="71" t="s">
        <v>137</v>
      </c>
      <c r="BA151" s="77">
        <f>AU151+AV151</f>
        <v>0</v>
      </c>
      <c r="BB151" s="77">
        <f>G151/(100-BC151)*100</f>
        <v>0</v>
      </c>
      <c r="BC151" s="77">
        <v>0</v>
      </c>
      <c r="BD151" s="77">
        <f>L151</f>
        <v>1.7092599999999999E-2</v>
      </c>
      <c r="BF151" s="77">
        <f>F151*AM151</f>
        <v>0</v>
      </c>
      <c r="BG151" s="77">
        <f>F151*AN151</f>
        <v>0</v>
      </c>
      <c r="BH151" s="77">
        <f>F151*G151</f>
        <v>0</v>
      </c>
      <c r="BI151" s="77"/>
      <c r="BJ151" s="77"/>
      <c r="BU151" s="77" t="e">
        <f>#REF!</f>
        <v>#REF!</v>
      </c>
      <c r="BV151" s="70" t="s">
        <v>435</v>
      </c>
    </row>
    <row r="152" spans="1:74" ht="54" customHeight="1" x14ac:dyDescent="0.25">
      <c r="A152" s="104"/>
      <c r="B152" s="81" t="s">
        <v>138</v>
      </c>
      <c r="C152" s="303" t="s">
        <v>436</v>
      </c>
      <c r="D152" s="304"/>
      <c r="E152" s="304"/>
      <c r="F152" s="304"/>
      <c r="G152" s="304"/>
      <c r="H152" s="304"/>
      <c r="I152" s="304"/>
      <c r="J152" s="304"/>
      <c r="K152" s="304"/>
      <c r="L152" s="304"/>
      <c r="M152" s="305"/>
    </row>
    <row r="153" spans="1:74" x14ac:dyDescent="0.25">
      <c r="A153" s="92" t="s">
        <v>437</v>
      </c>
      <c r="B153" s="69" t="s">
        <v>438</v>
      </c>
      <c r="C153" s="306" t="s">
        <v>439</v>
      </c>
      <c r="D153" s="307"/>
      <c r="E153" s="69" t="s">
        <v>325</v>
      </c>
      <c r="F153" s="77">
        <v>8.1199999999999992</v>
      </c>
      <c r="G153" s="218">
        <v>0</v>
      </c>
      <c r="H153" s="77">
        <f>F153*AM153</f>
        <v>0</v>
      </c>
      <c r="I153" s="77">
        <f>F153*AN153</f>
        <v>0</v>
      </c>
      <c r="J153" s="77">
        <f>F153*G153</f>
        <v>0</v>
      </c>
      <c r="K153" s="77">
        <v>3.7299999999999998E-3</v>
      </c>
      <c r="L153" s="77">
        <f>F153*K153</f>
        <v>3.0287599999999994E-2</v>
      </c>
      <c r="M153" s="103" t="s">
        <v>35</v>
      </c>
      <c r="X153" s="77">
        <f>IF(AO153="5",BH153,0)</f>
        <v>0</v>
      </c>
      <c r="Z153" s="77">
        <f>IF(AO153="1",BF153,0)</f>
        <v>0</v>
      </c>
      <c r="AA153" s="77">
        <f>IF(AO153="1",BG153,0)</f>
        <v>0</v>
      </c>
      <c r="AB153" s="77">
        <f>IF(AO153="7",BF153,0)</f>
        <v>0</v>
      </c>
      <c r="AC153" s="77">
        <f>IF(AO153="7",BG153,0)</f>
        <v>0</v>
      </c>
      <c r="AD153" s="77">
        <f>IF(AO153="2",BF153,0)</f>
        <v>0</v>
      </c>
      <c r="AE153" s="77">
        <f>IF(AO153="2",BG153,0)</f>
        <v>0</v>
      </c>
      <c r="AF153" s="77">
        <f>IF(AO153="0",BH153,0)</f>
        <v>0</v>
      </c>
      <c r="AG153" s="71" t="s">
        <v>129</v>
      </c>
      <c r="AH153" s="77">
        <f>IF(AL153=0,J153,0)</f>
        <v>0</v>
      </c>
      <c r="AI153" s="77">
        <f>IF(AL153=15,J153,0)</f>
        <v>0</v>
      </c>
      <c r="AJ153" s="77">
        <f>IF(AL153=21,J153,0)</f>
        <v>0</v>
      </c>
      <c r="AL153" s="77">
        <v>15</v>
      </c>
      <c r="AM153" s="77">
        <f>G153*1</f>
        <v>0</v>
      </c>
      <c r="AN153" s="77">
        <f>G153*(1-1)</f>
        <v>0</v>
      </c>
      <c r="AO153" s="79" t="s">
        <v>130</v>
      </c>
      <c r="AT153" s="77">
        <f>AU153+AV153</f>
        <v>0</v>
      </c>
      <c r="AU153" s="77">
        <f>F153*AM153</f>
        <v>0</v>
      </c>
      <c r="AV153" s="77">
        <f>F153*AN153</f>
        <v>0</v>
      </c>
      <c r="AW153" s="79" t="s">
        <v>416</v>
      </c>
      <c r="AX153" s="79" t="s">
        <v>417</v>
      </c>
      <c r="AY153" s="71" t="s">
        <v>137</v>
      </c>
      <c r="BA153" s="77">
        <f>AU153+AV153</f>
        <v>0</v>
      </c>
      <c r="BB153" s="77">
        <f>G153/(100-BC153)*100</f>
        <v>0</v>
      </c>
      <c r="BC153" s="77">
        <v>0</v>
      </c>
      <c r="BD153" s="77">
        <f>L153</f>
        <v>3.0287599999999994E-2</v>
      </c>
      <c r="BF153" s="77">
        <f>F153*AM153</f>
        <v>0</v>
      </c>
      <c r="BG153" s="77">
        <f>F153*AN153</f>
        <v>0</v>
      </c>
      <c r="BH153" s="77">
        <f>F153*G153</f>
        <v>0</v>
      </c>
      <c r="BI153" s="77"/>
      <c r="BJ153" s="77"/>
      <c r="BU153" s="77" t="e">
        <f>#REF!</f>
        <v>#REF!</v>
      </c>
      <c r="BV153" s="70" t="s">
        <v>439</v>
      </c>
    </row>
    <row r="154" spans="1:74" ht="54" customHeight="1" x14ac:dyDescent="0.25">
      <c r="A154" s="104"/>
      <c r="B154" s="81" t="s">
        <v>138</v>
      </c>
      <c r="C154" s="303" t="s">
        <v>440</v>
      </c>
      <c r="D154" s="304"/>
      <c r="E154" s="304"/>
      <c r="F154" s="304"/>
      <c r="G154" s="304"/>
      <c r="H154" s="304"/>
      <c r="I154" s="304"/>
      <c r="J154" s="304"/>
      <c r="K154" s="304"/>
      <c r="L154" s="304"/>
      <c r="M154" s="305"/>
    </row>
    <row r="155" spans="1:74" x14ac:dyDescent="0.25">
      <c r="A155" s="92" t="s">
        <v>441</v>
      </c>
      <c r="B155" s="69" t="s">
        <v>442</v>
      </c>
      <c r="C155" s="306" t="s">
        <v>443</v>
      </c>
      <c r="D155" s="307"/>
      <c r="E155" s="69" t="s">
        <v>325</v>
      </c>
      <c r="F155" s="77">
        <v>8.1199999999999992</v>
      </c>
      <c r="G155" s="218">
        <v>0</v>
      </c>
      <c r="H155" s="77">
        <f>F155*AM155</f>
        <v>0</v>
      </c>
      <c r="I155" s="77">
        <f>F155*AN155</f>
        <v>0</v>
      </c>
      <c r="J155" s="77">
        <f>F155*G155</f>
        <v>0</v>
      </c>
      <c r="K155" s="77">
        <v>4.1999999999999997E-3</v>
      </c>
      <c r="L155" s="77">
        <f>F155*K155</f>
        <v>3.4103999999999995E-2</v>
      </c>
      <c r="M155" s="103" t="s">
        <v>35</v>
      </c>
      <c r="X155" s="77">
        <f>IF(AO155="5",BH155,0)</f>
        <v>0</v>
      </c>
      <c r="Z155" s="77">
        <f>IF(AO155="1",BF155,0)</f>
        <v>0</v>
      </c>
      <c r="AA155" s="77">
        <f>IF(AO155="1",BG155,0)</f>
        <v>0</v>
      </c>
      <c r="AB155" s="77">
        <f>IF(AO155="7",BF155,0)</f>
        <v>0</v>
      </c>
      <c r="AC155" s="77">
        <f>IF(AO155="7",BG155,0)</f>
        <v>0</v>
      </c>
      <c r="AD155" s="77">
        <f>IF(AO155="2",BF155,0)</f>
        <v>0</v>
      </c>
      <c r="AE155" s="77">
        <f>IF(AO155="2",BG155,0)</f>
        <v>0</v>
      </c>
      <c r="AF155" s="77">
        <f>IF(AO155="0",BH155,0)</f>
        <v>0</v>
      </c>
      <c r="AG155" s="71" t="s">
        <v>129</v>
      </c>
      <c r="AH155" s="77">
        <f>IF(AL155=0,J155,0)</f>
        <v>0</v>
      </c>
      <c r="AI155" s="77">
        <f>IF(AL155=15,J155,0)</f>
        <v>0</v>
      </c>
      <c r="AJ155" s="77">
        <f>IF(AL155=21,J155,0)</f>
        <v>0</v>
      </c>
      <c r="AL155" s="77">
        <v>15</v>
      </c>
      <c r="AM155" s="77">
        <f>G155*1</f>
        <v>0</v>
      </c>
      <c r="AN155" s="77">
        <f>G155*(1-1)</f>
        <v>0</v>
      </c>
      <c r="AO155" s="79" t="s">
        <v>130</v>
      </c>
      <c r="AT155" s="77">
        <f>AU155+AV155</f>
        <v>0</v>
      </c>
      <c r="AU155" s="77">
        <f>F155*AM155</f>
        <v>0</v>
      </c>
      <c r="AV155" s="77">
        <f>F155*AN155</f>
        <v>0</v>
      </c>
      <c r="AW155" s="79" t="s">
        <v>416</v>
      </c>
      <c r="AX155" s="79" t="s">
        <v>417</v>
      </c>
      <c r="AY155" s="71" t="s">
        <v>137</v>
      </c>
      <c r="BA155" s="77">
        <f>AU155+AV155</f>
        <v>0</v>
      </c>
      <c r="BB155" s="77">
        <f>G155/(100-BC155)*100</f>
        <v>0</v>
      </c>
      <c r="BC155" s="77">
        <v>0</v>
      </c>
      <c r="BD155" s="77">
        <f>L155</f>
        <v>3.4103999999999995E-2</v>
      </c>
      <c r="BF155" s="77">
        <f>F155*AM155</f>
        <v>0</v>
      </c>
      <c r="BG155" s="77">
        <f>F155*AN155</f>
        <v>0</v>
      </c>
      <c r="BH155" s="77">
        <f>F155*G155</f>
        <v>0</v>
      </c>
      <c r="BI155" s="77"/>
      <c r="BJ155" s="77"/>
      <c r="BU155" s="77" t="e">
        <f>#REF!</f>
        <v>#REF!</v>
      </c>
      <c r="BV155" s="70" t="s">
        <v>443</v>
      </c>
    </row>
    <row r="156" spans="1:74" ht="54" customHeight="1" x14ac:dyDescent="0.25">
      <c r="A156" s="104"/>
      <c r="B156" s="81" t="s">
        <v>138</v>
      </c>
      <c r="C156" s="303" t="s">
        <v>444</v>
      </c>
      <c r="D156" s="304"/>
      <c r="E156" s="304"/>
      <c r="F156" s="304"/>
      <c r="G156" s="304"/>
      <c r="H156" s="304"/>
      <c r="I156" s="304"/>
      <c r="J156" s="304"/>
      <c r="K156" s="304"/>
      <c r="L156" s="304"/>
      <c r="M156" s="305"/>
    </row>
    <row r="157" spans="1:74" x14ac:dyDescent="0.25">
      <c r="A157" s="92" t="s">
        <v>445</v>
      </c>
      <c r="B157" s="69" t="s">
        <v>446</v>
      </c>
      <c r="C157" s="306" t="s">
        <v>447</v>
      </c>
      <c r="D157" s="307"/>
      <c r="E157" s="69" t="s">
        <v>325</v>
      </c>
      <c r="F157" s="77">
        <v>1.01</v>
      </c>
      <c r="G157" s="218">
        <v>0</v>
      </c>
      <c r="H157" s="77">
        <f>F157*AM157</f>
        <v>0</v>
      </c>
      <c r="I157" s="77">
        <f>F157*AN157</f>
        <v>0</v>
      </c>
      <c r="J157" s="77">
        <f>F157*G157</f>
        <v>0</v>
      </c>
      <c r="K157" s="77">
        <v>2E-3</v>
      </c>
      <c r="L157" s="77">
        <f>F157*K157</f>
        <v>2.0200000000000001E-3</v>
      </c>
      <c r="M157" s="103" t="s">
        <v>35</v>
      </c>
      <c r="X157" s="77">
        <f>IF(AO157="5",BH157,0)</f>
        <v>0</v>
      </c>
      <c r="Z157" s="77">
        <f>IF(AO157="1",BF157,0)</f>
        <v>0</v>
      </c>
      <c r="AA157" s="77">
        <f>IF(AO157="1",BG157,0)</f>
        <v>0</v>
      </c>
      <c r="AB157" s="77">
        <f>IF(AO157="7",BF157,0)</f>
        <v>0</v>
      </c>
      <c r="AC157" s="77">
        <f>IF(AO157="7",BG157,0)</f>
        <v>0</v>
      </c>
      <c r="AD157" s="77">
        <f>IF(AO157="2",BF157,0)</f>
        <v>0</v>
      </c>
      <c r="AE157" s="77">
        <f>IF(AO157="2",BG157,0)</f>
        <v>0</v>
      </c>
      <c r="AF157" s="77">
        <f>IF(AO157="0",BH157,0)</f>
        <v>0</v>
      </c>
      <c r="AG157" s="71" t="s">
        <v>129</v>
      </c>
      <c r="AH157" s="77">
        <f>IF(AL157=0,J157,0)</f>
        <v>0</v>
      </c>
      <c r="AI157" s="77">
        <f>IF(AL157=15,J157,0)</f>
        <v>0</v>
      </c>
      <c r="AJ157" s="77">
        <f>IF(AL157=21,J157,0)</f>
        <v>0</v>
      </c>
      <c r="AL157" s="77">
        <v>15</v>
      </c>
      <c r="AM157" s="77">
        <f>G157*1</f>
        <v>0</v>
      </c>
      <c r="AN157" s="77">
        <f>G157*(1-1)</f>
        <v>0</v>
      </c>
      <c r="AO157" s="79" t="s">
        <v>130</v>
      </c>
      <c r="AT157" s="77">
        <f>AU157+AV157</f>
        <v>0</v>
      </c>
      <c r="AU157" s="77">
        <f>F157*AM157</f>
        <v>0</v>
      </c>
      <c r="AV157" s="77">
        <f>F157*AN157</f>
        <v>0</v>
      </c>
      <c r="AW157" s="79" t="s">
        <v>416</v>
      </c>
      <c r="AX157" s="79" t="s">
        <v>417</v>
      </c>
      <c r="AY157" s="71" t="s">
        <v>137</v>
      </c>
      <c r="BA157" s="77">
        <f>AU157+AV157</f>
        <v>0</v>
      </c>
      <c r="BB157" s="77">
        <f>G157/(100-BC157)*100</f>
        <v>0</v>
      </c>
      <c r="BC157" s="77">
        <v>0</v>
      </c>
      <c r="BD157" s="77">
        <f>L157</f>
        <v>2.0200000000000001E-3</v>
      </c>
      <c r="BF157" s="77">
        <f>F157*AM157</f>
        <v>0</v>
      </c>
      <c r="BG157" s="77">
        <f>F157*AN157</f>
        <v>0</v>
      </c>
      <c r="BH157" s="77">
        <f>F157*G157</f>
        <v>0</v>
      </c>
      <c r="BI157" s="77"/>
      <c r="BJ157" s="77"/>
      <c r="BU157" s="77" t="e">
        <f>#REF!</f>
        <v>#REF!</v>
      </c>
      <c r="BV157" s="70" t="s">
        <v>447</v>
      </c>
    </row>
    <row r="158" spans="1:74" ht="54" customHeight="1" x14ac:dyDescent="0.25">
      <c r="A158" s="104"/>
      <c r="B158" s="81" t="s">
        <v>138</v>
      </c>
      <c r="C158" s="303" t="s">
        <v>448</v>
      </c>
      <c r="D158" s="304"/>
      <c r="E158" s="304"/>
      <c r="F158" s="304"/>
      <c r="G158" s="304"/>
      <c r="H158" s="304"/>
      <c r="I158" s="304"/>
      <c r="J158" s="304"/>
      <c r="K158" s="304"/>
      <c r="L158" s="304"/>
      <c r="M158" s="305"/>
    </row>
    <row r="159" spans="1:74" x14ac:dyDescent="0.25">
      <c r="A159" s="92" t="s">
        <v>449</v>
      </c>
      <c r="B159" s="69" t="s">
        <v>450</v>
      </c>
      <c r="C159" s="306" t="s">
        <v>451</v>
      </c>
      <c r="D159" s="307"/>
      <c r="E159" s="69" t="s">
        <v>325</v>
      </c>
      <c r="F159" s="77">
        <v>3</v>
      </c>
      <c r="G159" s="218">
        <v>0</v>
      </c>
      <c r="H159" s="77">
        <f t="shared" ref="H159:H165" si="0">F159*AM159</f>
        <v>0</v>
      </c>
      <c r="I159" s="77">
        <f t="shared" ref="I159:I165" si="1">F159*AN159</f>
        <v>0</v>
      </c>
      <c r="J159" s="77">
        <f t="shared" ref="J159:J165" si="2">F159*G159</f>
        <v>0</v>
      </c>
      <c r="K159" s="77">
        <v>6.8000000000000005E-2</v>
      </c>
      <c r="L159" s="77">
        <f t="shared" ref="L159:L165" si="3">F159*K159</f>
        <v>0.20400000000000001</v>
      </c>
      <c r="M159" s="103" t="s">
        <v>35</v>
      </c>
      <c r="X159" s="77">
        <f t="shared" ref="X159:X165" si="4">IF(AO159="5",BH159,0)</f>
        <v>0</v>
      </c>
      <c r="Z159" s="77">
        <f t="shared" ref="Z159:Z165" si="5">IF(AO159="1",BF159,0)</f>
        <v>0</v>
      </c>
      <c r="AA159" s="77">
        <f t="shared" ref="AA159:AA165" si="6">IF(AO159="1",BG159,0)</f>
        <v>0</v>
      </c>
      <c r="AB159" s="77">
        <f t="shared" ref="AB159:AB165" si="7">IF(AO159="7",BF159,0)</f>
        <v>0</v>
      </c>
      <c r="AC159" s="77">
        <f t="shared" ref="AC159:AC165" si="8">IF(AO159="7",BG159,0)</f>
        <v>0</v>
      </c>
      <c r="AD159" s="77">
        <f t="shared" ref="AD159:AD165" si="9">IF(AO159="2",BF159,0)</f>
        <v>0</v>
      </c>
      <c r="AE159" s="77">
        <f t="shared" ref="AE159:AE165" si="10">IF(AO159="2",BG159,0)</f>
        <v>0</v>
      </c>
      <c r="AF159" s="77">
        <f t="shared" ref="AF159:AF165" si="11">IF(AO159="0",BH159,0)</f>
        <v>0</v>
      </c>
      <c r="AG159" s="71" t="s">
        <v>129</v>
      </c>
      <c r="AH159" s="77">
        <f t="shared" ref="AH159:AH165" si="12">IF(AL159=0,J159,0)</f>
        <v>0</v>
      </c>
      <c r="AI159" s="77">
        <f t="shared" ref="AI159:AI165" si="13">IF(AL159=15,J159,0)</f>
        <v>0</v>
      </c>
      <c r="AJ159" s="77">
        <f t="shared" ref="AJ159:AJ165" si="14">IF(AL159=21,J159,0)</f>
        <v>0</v>
      </c>
      <c r="AL159" s="77">
        <v>15</v>
      </c>
      <c r="AM159" s="77">
        <f t="shared" ref="AM159:AM165" si="15">G159*1</f>
        <v>0</v>
      </c>
      <c r="AN159" s="77">
        <f t="shared" ref="AN159:AN165" si="16">G159*(1-1)</f>
        <v>0</v>
      </c>
      <c r="AO159" s="79" t="s">
        <v>130</v>
      </c>
      <c r="AT159" s="77">
        <f t="shared" ref="AT159:AT165" si="17">AU159+AV159</f>
        <v>0</v>
      </c>
      <c r="AU159" s="77">
        <f t="shared" ref="AU159:AU165" si="18">F159*AM159</f>
        <v>0</v>
      </c>
      <c r="AV159" s="77">
        <f t="shared" ref="AV159:AV165" si="19">F159*AN159</f>
        <v>0</v>
      </c>
      <c r="AW159" s="79" t="s">
        <v>416</v>
      </c>
      <c r="AX159" s="79" t="s">
        <v>417</v>
      </c>
      <c r="AY159" s="71" t="s">
        <v>137</v>
      </c>
      <c r="BA159" s="77">
        <f t="shared" ref="BA159:BA165" si="20">AU159+AV159</f>
        <v>0</v>
      </c>
      <c r="BB159" s="77">
        <f t="shared" ref="BB159:BB165" si="21">G159/(100-BC159)*100</f>
        <v>0</v>
      </c>
      <c r="BC159" s="77">
        <v>0</v>
      </c>
      <c r="BD159" s="77">
        <f t="shared" ref="BD159:BD165" si="22">L159</f>
        <v>0.20400000000000001</v>
      </c>
      <c r="BF159" s="77">
        <f t="shared" ref="BF159:BF165" si="23">F159*AM159</f>
        <v>0</v>
      </c>
      <c r="BG159" s="77">
        <f t="shared" ref="BG159:BG165" si="24">F159*AN159</f>
        <v>0</v>
      </c>
      <c r="BH159" s="77">
        <f t="shared" ref="BH159:BH165" si="25">F159*G159</f>
        <v>0</v>
      </c>
      <c r="BI159" s="77"/>
      <c r="BJ159" s="77"/>
      <c r="BU159" s="77" t="e">
        <f>#REF!</f>
        <v>#REF!</v>
      </c>
      <c r="BV159" s="70" t="s">
        <v>451</v>
      </c>
    </row>
    <row r="160" spans="1:74" x14ac:dyDescent="0.25">
      <c r="A160" s="92" t="s">
        <v>452</v>
      </c>
      <c r="B160" s="69" t="s">
        <v>453</v>
      </c>
      <c r="C160" s="306" t="s">
        <v>454</v>
      </c>
      <c r="D160" s="307"/>
      <c r="E160" s="69" t="s">
        <v>325</v>
      </c>
      <c r="F160" s="77">
        <v>3</v>
      </c>
      <c r="G160" s="218">
        <v>0</v>
      </c>
      <c r="H160" s="77">
        <f t="shared" si="0"/>
        <v>0</v>
      </c>
      <c r="I160" s="77">
        <f t="shared" si="1"/>
        <v>0</v>
      </c>
      <c r="J160" s="77">
        <f t="shared" si="2"/>
        <v>0</v>
      </c>
      <c r="K160" s="77">
        <v>5.3999999999999999E-2</v>
      </c>
      <c r="L160" s="77">
        <f t="shared" si="3"/>
        <v>0.16200000000000001</v>
      </c>
      <c r="M160" s="103" t="s">
        <v>35</v>
      </c>
      <c r="X160" s="77">
        <f t="shared" si="4"/>
        <v>0</v>
      </c>
      <c r="Z160" s="77">
        <f t="shared" si="5"/>
        <v>0</v>
      </c>
      <c r="AA160" s="77">
        <f t="shared" si="6"/>
        <v>0</v>
      </c>
      <c r="AB160" s="77">
        <f t="shared" si="7"/>
        <v>0</v>
      </c>
      <c r="AC160" s="77">
        <f t="shared" si="8"/>
        <v>0</v>
      </c>
      <c r="AD160" s="77">
        <f t="shared" si="9"/>
        <v>0</v>
      </c>
      <c r="AE160" s="77">
        <f t="shared" si="10"/>
        <v>0</v>
      </c>
      <c r="AF160" s="77">
        <f t="shared" si="11"/>
        <v>0</v>
      </c>
      <c r="AG160" s="71" t="s">
        <v>129</v>
      </c>
      <c r="AH160" s="77">
        <f t="shared" si="12"/>
        <v>0</v>
      </c>
      <c r="AI160" s="77">
        <f t="shared" si="13"/>
        <v>0</v>
      </c>
      <c r="AJ160" s="77">
        <f t="shared" si="14"/>
        <v>0</v>
      </c>
      <c r="AL160" s="77">
        <v>15</v>
      </c>
      <c r="AM160" s="77">
        <f t="shared" si="15"/>
        <v>0</v>
      </c>
      <c r="AN160" s="77">
        <f t="shared" si="16"/>
        <v>0</v>
      </c>
      <c r="AO160" s="79" t="s">
        <v>130</v>
      </c>
      <c r="AT160" s="77">
        <f t="shared" si="17"/>
        <v>0</v>
      </c>
      <c r="AU160" s="77">
        <f t="shared" si="18"/>
        <v>0</v>
      </c>
      <c r="AV160" s="77">
        <f t="shared" si="19"/>
        <v>0</v>
      </c>
      <c r="AW160" s="79" t="s">
        <v>416</v>
      </c>
      <c r="AX160" s="79" t="s">
        <v>417</v>
      </c>
      <c r="AY160" s="71" t="s">
        <v>137</v>
      </c>
      <c r="BA160" s="77">
        <f t="shared" si="20"/>
        <v>0</v>
      </c>
      <c r="BB160" s="77">
        <f t="shared" si="21"/>
        <v>0</v>
      </c>
      <c r="BC160" s="77">
        <v>0</v>
      </c>
      <c r="BD160" s="77">
        <f t="shared" si="22"/>
        <v>0.16200000000000001</v>
      </c>
      <c r="BF160" s="77">
        <f t="shared" si="23"/>
        <v>0</v>
      </c>
      <c r="BG160" s="77">
        <f t="shared" si="24"/>
        <v>0</v>
      </c>
      <c r="BH160" s="77">
        <f t="shared" si="25"/>
        <v>0</v>
      </c>
      <c r="BI160" s="77"/>
      <c r="BJ160" s="77"/>
      <c r="BU160" s="77" t="e">
        <f>#REF!</f>
        <v>#REF!</v>
      </c>
      <c r="BV160" s="70" t="s">
        <v>454</v>
      </c>
    </row>
    <row r="161" spans="1:74" x14ac:dyDescent="0.25">
      <c r="A161" s="92" t="s">
        <v>455</v>
      </c>
      <c r="B161" s="69" t="s">
        <v>456</v>
      </c>
      <c r="C161" s="306" t="s">
        <v>457</v>
      </c>
      <c r="D161" s="307"/>
      <c r="E161" s="69" t="s">
        <v>325</v>
      </c>
      <c r="F161" s="77">
        <v>3</v>
      </c>
      <c r="G161" s="218">
        <v>0</v>
      </c>
      <c r="H161" s="77">
        <f t="shared" si="0"/>
        <v>0</v>
      </c>
      <c r="I161" s="77">
        <f t="shared" si="1"/>
        <v>0</v>
      </c>
      <c r="J161" s="77">
        <f t="shared" si="2"/>
        <v>0</v>
      </c>
      <c r="K161" s="77">
        <v>0.58499999999999996</v>
      </c>
      <c r="L161" s="77">
        <f t="shared" si="3"/>
        <v>1.7549999999999999</v>
      </c>
      <c r="M161" s="103" t="s">
        <v>35</v>
      </c>
      <c r="X161" s="77">
        <f t="shared" si="4"/>
        <v>0</v>
      </c>
      <c r="Z161" s="77">
        <f t="shared" si="5"/>
        <v>0</v>
      </c>
      <c r="AA161" s="77">
        <f t="shared" si="6"/>
        <v>0</v>
      </c>
      <c r="AB161" s="77">
        <f t="shared" si="7"/>
        <v>0</v>
      </c>
      <c r="AC161" s="77">
        <f t="shared" si="8"/>
        <v>0</v>
      </c>
      <c r="AD161" s="77">
        <f t="shared" si="9"/>
        <v>0</v>
      </c>
      <c r="AE161" s="77">
        <f t="shared" si="10"/>
        <v>0</v>
      </c>
      <c r="AF161" s="77">
        <f t="shared" si="11"/>
        <v>0</v>
      </c>
      <c r="AG161" s="71" t="s">
        <v>129</v>
      </c>
      <c r="AH161" s="77">
        <f t="shared" si="12"/>
        <v>0</v>
      </c>
      <c r="AI161" s="77">
        <f t="shared" si="13"/>
        <v>0</v>
      </c>
      <c r="AJ161" s="77">
        <f t="shared" si="14"/>
        <v>0</v>
      </c>
      <c r="AL161" s="77">
        <v>15</v>
      </c>
      <c r="AM161" s="77">
        <f t="shared" si="15"/>
        <v>0</v>
      </c>
      <c r="AN161" s="77">
        <f t="shared" si="16"/>
        <v>0</v>
      </c>
      <c r="AO161" s="79" t="s">
        <v>130</v>
      </c>
      <c r="AT161" s="77">
        <f t="shared" si="17"/>
        <v>0</v>
      </c>
      <c r="AU161" s="77">
        <f t="shared" si="18"/>
        <v>0</v>
      </c>
      <c r="AV161" s="77">
        <f t="shared" si="19"/>
        <v>0</v>
      </c>
      <c r="AW161" s="79" t="s">
        <v>416</v>
      </c>
      <c r="AX161" s="79" t="s">
        <v>417</v>
      </c>
      <c r="AY161" s="71" t="s">
        <v>137</v>
      </c>
      <c r="BA161" s="77">
        <f t="shared" si="20"/>
        <v>0</v>
      </c>
      <c r="BB161" s="77">
        <f t="shared" si="21"/>
        <v>0</v>
      </c>
      <c r="BC161" s="77">
        <v>0</v>
      </c>
      <c r="BD161" s="77">
        <f t="shared" si="22"/>
        <v>1.7549999999999999</v>
      </c>
      <c r="BF161" s="77">
        <f t="shared" si="23"/>
        <v>0</v>
      </c>
      <c r="BG161" s="77">
        <f t="shared" si="24"/>
        <v>0</v>
      </c>
      <c r="BH161" s="77">
        <f t="shared" si="25"/>
        <v>0</v>
      </c>
      <c r="BI161" s="77"/>
      <c r="BJ161" s="77"/>
      <c r="BU161" s="77" t="e">
        <f>#REF!</f>
        <v>#REF!</v>
      </c>
      <c r="BV161" s="70" t="s">
        <v>457</v>
      </c>
    </row>
    <row r="162" spans="1:74" x14ac:dyDescent="0.25">
      <c r="A162" s="92" t="s">
        <v>458</v>
      </c>
      <c r="B162" s="69" t="s">
        <v>459</v>
      </c>
      <c r="C162" s="306" t="s">
        <v>460</v>
      </c>
      <c r="D162" s="307"/>
      <c r="E162" s="69" t="s">
        <v>325</v>
      </c>
      <c r="F162" s="77">
        <v>3</v>
      </c>
      <c r="G162" s="218">
        <v>0</v>
      </c>
      <c r="H162" s="77">
        <f t="shared" si="0"/>
        <v>0</v>
      </c>
      <c r="I162" s="77">
        <f t="shared" si="1"/>
        <v>0</v>
      </c>
      <c r="J162" s="77">
        <f t="shared" si="2"/>
        <v>0</v>
      </c>
      <c r="K162" s="77">
        <v>0.5</v>
      </c>
      <c r="L162" s="77">
        <f t="shared" si="3"/>
        <v>1.5</v>
      </c>
      <c r="M162" s="103" t="s">
        <v>35</v>
      </c>
      <c r="X162" s="77">
        <f t="shared" si="4"/>
        <v>0</v>
      </c>
      <c r="Z162" s="77">
        <f t="shared" si="5"/>
        <v>0</v>
      </c>
      <c r="AA162" s="77">
        <f t="shared" si="6"/>
        <v>0</v>
      </c>
      <c r="AB162" s="77">
        <f t="shared" si="7"/>
        <v>0</v>
      </c>
      <c r="AC162" s="77">
        <f t="shared" si="8"/>
        <v>0</v>
      </c>
      <c r="AD162" s="77">
        <f t="shared" si="9"/>
        <v>0</v>
      </c>
      <c r="AE162" s="77">
        <f t="shared" si="10"/>
        <v>0</v>
      </c>
      <c r="AF162" s="77">
        <f t="shared" si="11"/>
        <v>0</v>
      </c>
      <c r="AG162" s="71" t="s">
        <v>129</v>
      </c>
      <c r="AH162" s="77">
        <f t="shared" si="12"/>
        <v>0</v>
      </c>
      <c r="AI162" s="77">
        <f t="shared" si="13"/>
        <v>0</v>
      </c>
      <c r="AJ162" s="77">
        <f t="shared" si="14"/>
        <v>0</v>
      </c>
      <c r="AL162" s="77">
        <v>15</v>
      </c>
      <c r="AM162" s="77">
        <f t="shared" si="15"/>
        <v>0</v>
      </c>
      <c r="AN162" s="77">
        <f t="shared" si="16"/>
        <v>0</v>
      </c>
      <c r="AO162" s="79" t="s">
        <v>130</v>
      </c>
      <c r="AT162" s="77">
        <f t="shared" si="17"/>
        <v>0</v>
      </c>
      <c r="AU162" s="77">
        <f t="shared" si="18"/>
        <v>0</v>
      </c>
      <c r="AV162" s="77">
        <f t="shared" si="19"/>
        <v>0</v>
      </c>
      <c r="AW162" s="79" t="s">
        <v>416</v>
      </c>
      <c r="AX162" s="79" t="s">
        <v>417</v>
      </c>
      <c r="AY162" s="71" t="s">
        <v>137</v>
      </c>
      <c r="BA162" s="77">
        <f t="shared" si="20"/>
        <v>0</v>
      </c>
      <c r="BB162" s="77">
        <f t="shared" si="21"/>
        <v>0</v>
      </c>
      <c r="BC162" s="77">
        <v>0</v>
      </c>
      <c r="BD162" s="77">
        <f t="shared" si="22"/>
        <v>1.5</v>
      </c>
      <c r="BF162" s="77">
        <f t="shared" si="23"/>
        <v>0</v>
      </c>
      <c r="BG162" s="77">
        <f t="shared" si="24"/>
        <v>0</v>
      </c>
      <c r="BH162" s="77">
        <f t="shared" si="25"/>
        <v>0</v>
      </c>
      <c r="BI162" s="77"/>
      <c r="BJ162" s="77"/>
      <c r="BU162" s="77" t="e">
        <f>#REF!</f>
        <v>#REF!</v>
      </c>
      <c r="BV162" s="70" t="s">
        <v>460</v>
      </c>
    </row>
    <row r="163" spans="1:74" x14ac:dyDescent="0.25">
      <c r="A163" s="92" t="s">
        <v>461</v>
      </c>
      <c r="B163" s="69" t="s">
        <v>462</v>
      </c>
      <c r="C163" s="306" t="s">
        <v>463</v>
      </c>
      <c r="D163" s="307"/>
      <c r="E163" s="69" t="s">
        <v>325</v>
      </c>
      <c r="F163" s="77">
        <v>3</v>
      </c>
      <c r="G163" s="218">
        <v>0</v>
      </c>
      <c r="H163" s="77">
        <f t="shared" si="0"/>
        <v>0</v>
      </c>
      <c r="I163" s="77">
        <f t="shared" si="1"/>
        <v>0</v>
      </c>
      <c r="J163" s="77">
        <f t="shared" si="2"/>
        <v>0</v>
      </c>
      <c r="K163" s="77">
        <v>1.6</v>
      </c>
      <c r="L163" s="77">
        <f t="shared" si="3"/>
        <v>4.8000000000000007</v>
      </c>
      <c r="M163" s="103" t="s">
        <v>35</v>
      </c>
      <c r="X163" s="77">
        <f t="shared" si="4"/>
        <v>0</v>
      </c>
      <c r="Z163" s="77">
        <f t="shared" si="5"/>
        <v>0</v>
      </c>
      <c r="AA163" s="77">
        <f t="shared" si="6"/>
        <v>0</v>
      </c>
      <c r="AB163" s="77">
        <f t="shared" si="7"/>
        <v>0</v>
      </c>
      <c r="AC163" s="77">
        <f t="shared" si="8"/>
        <v>0</v>
      </c>
      <c r="AD163" s="77">
        <f t="shared" si="9"/>
        <v>0</v>
      </c>
      <c r="AE163" s="77">
        <f t="shared" si="10"/>
        <v>0</v>
      </c>
      <c r="AF163" s="77">
        <f t="shared" si="11"/>
        <v>0</v>
      </c>
      <c r="AG163" s="71" t="s">
        <v>129</v>
      </c>
      <c r="AH163" s="77">
        <f t="shared" si="12"/>
        <v>0</v>
      </c>
      <c r="AI163" s="77">
        <f t="shared" si="13"/>
        <v>0</v>
      </c>
      <c r="AJ163" s="77">
        <f t="shared" si="14"/>
        <v>0</v>
      </c>
      <c r="AL163" s="77">
        <v>15</v>
      </c>
      <c r="AM163" s="77">
        <f t="shared" si="15"/>
        <v>0</v>
      </c>
      <c r="AN163" s="77">
        <f t="shared" si="16"/>
        <v>0</v>
      </c>
      <c r="AO163" s="79" t="s">
        <v>130</v>
      </c>
      <c r="AT163" s="77">
        <f t="shared" si="17"/>
        <v>0</v>
      </c>
      <c r="AU163" s="77">
        <f t="shared" si="18"/>
        <v>0</v>
      </c>
      <c r="AV163" s="77">
        <f t="shared" si="19"/>
        <v>0</v>
      </c>
      <c r="AW163" s="79" t="s">
        <v>416</v>
      </c>
      <c r="AX163" s="79" t="s">
        <v>417</v>
      </c>
      <c r="AY163" s="71" t="s">
        <v>137</v>
      </c>
      <c r="BA163" s="77">
        <f t="shared" si="20"/>
        <v>0</v>
      </c>
      <c r="BB163" s="77">
        <f t="shared" si="21"/>
        <v>0</v>
      </c>
      <c r="BC163" s="77">
        <v>0</v>
      </c>
      <c r="BD163" s="77">
        <f t="shared" si="22"/>
        <v>4.8000000000000007</v>
      </c>
      <c r="BF163" s="77">
        <f t="shared" si="23"/>
        <v>0</v>
      </c>
      <c r="BG163" s="77">
        <f t="shared" si="24"/>
        <v>0</v>
      </c>
      <c r="BH163" s="77">
        <f t="shared" si="25"/>
        <v>0</v>
      </c>
      <c r="BI163" s="77"/>
      <c r="BJ163" s="77"/>
      <c r="BU163" s="77" t="e">
        <f>#REF!</f>
        <v>#REF!</v>
      </c>
      <c r="BV163" s="70" t="s">
        <v>463</v>
      </c>
    </row>
    <row r="164" spans="1:74" x14ac:dyDescent="0.25">
      <c r="A164" s="92" t="s">
        <v>464</v>
      </c>
      <c r="B164" s="69" t="s">
        <v>465</v>
      </c>
      <c r="C164" s="306" t="s">
        <v>466</v>
      </c>
      <c r="D164" s="307"/>
      <c r="E164" s="69" t="s">
        <v>325</v>
      </c>
      <c r="F164" s="77">
        <v>6</v>
      </c>
      <c r="G164" s="218">
        <v>0</v>
      </c>
      <c r="H164" s="77">
        <f t="shared" si="0"/>
        <v>0</v>
      </c>
      <c r="I164" s="77">
        <f t="shared" si="1"/>
        <v>0</v>
      </c>
      <c r="J164" s="77">
        <f t="shared" si="2"/>
        <v>0</v>
      </c>
      <c r="K164" s="77">
        <v>2E-3</v>
      </c>
      <c r="L164" s="77">
        <f t="shared" si="3"/>
        <v>1.2E-2</v>
      </c>
      <c r="M164" s="103" t="s">
        <v>35</v>
      </c>
      <c r="X164" s="77">
        <f t="shared" si="4"/>
        <v>0</v>
      </c>
      <c r="Z164" s="77">
        <f t="shared" si="5"/>
        <v>0</v>
      </c>
      <c r="AA164" s="77">
        <f t="shared" si="6"/>
        <v>0</v>
      </c>
      <c r="AB164" s="77">
        <f t="shared" si="7"/>
        <v>0</v>
      </c>
      <c r="AC164" s="77">
        <f t="shared" si="8"/>
        <v>0</v>
      </c>
      <c r="AD164" s="77">
        <f t="shared" si="9"/>
        <v>0</v>
      </c>
      <c r="AE164" s="77">
        <f t="shared" si="10"/>
        <v>0</v>
      </c>
      <c r="AF164" s="77">
        <f t="shared" si="11"/>
        <v>0</v>
      </c>
      <c r="AG164" s="71" t="s">
        <v>129</v>
      </c>
      <c r="AH164" s="77">
        <f t="shared" si="12"/>
        <v>0</v>
      </c>
      <c r="AI164" s="77">
        <f t="shared" si="13"/>
        <v>0</v>
      </c>
      <c r="AJ164" s="77">
        <f t="shared" si="14"/>
        <v>0</v>
      </c>
      <c r="AL164" s="77">
        <v>15</v>
      </c>
      <c r="AM164" s="77">
        <f t="shared" si="15"/>
        <v>0</v>
      </c>
      <c r="AN164" s="77">
        <f t="shared" si="16"/>
        <v>0</v>
      </c>
      <c r="AO164" s="79" t="s">
        <v>130</v>
      </c>
      <c r="AT164" s="77">
        <f t="shared" si="17"/>
        <v>0</v>
      </c>
      <c r="AU164" s="77">
        <f t="shared" si="18"/>
        <v>0</v>
      </c>
      <c r="AV164" s="77">
        <f t="shared" si="19"/>
        <v>0</v>
      </c>
      <c r="AW164" s="79" t="s">
        <v>416</v>
      </c>
      <c r="AX164" s="79" t="s">
        <v>417</v>
      </c>
      <c r="AY164" s="71" t="s">
        <v>137</v>
      </c>
      <c r="BA164" s="77">
        <f t="shared" si="20"/>
        <v>0</v>
      </c>
      <c r="BB164" s="77">
        <f t="shared" si="21"/>
        <v>0</v>
      </c>
      <c r="BC164" s="77">
        <v>0</v>
      </c>
      <c r="BD164" s="77">
        <f t="shared" si="22"/>
        <v>1.2E-2</v>
      </c>
      <c r="BF164" s="77">
        <f t="shared" si="23"/>
        <v>0</v>
      </c>
      <c r="BG164" s="77">
        <f t="shared" si="24"/>
        <v>0</v>
      </c>
      <c r="BH164" s="77">
        <f t="shared" si="25"/>
        <v>0</v>
      </c>
      <c r="BI164" s="77"/>
      <c r="BJ164" s="77"/>
      <c r="BU164" s="77" t="e">
        <f>#REF!</f>
        <v>#REF!</v>
      </c>
      <c r="BV164" s="70" t="s">
        <v>466</v>
      </c>
    </row>
    <row r="165" spans="1:74" x14ac:dyDescent="0.25">
      <c r="A165" s="92" t="s">
        <v>467</v>
      </c>
      <c r="B165" s="69" t="s">
        <v>468</v>
      </c>
      <c r="C165" s="306" t="s">
        <v>469</v>
      </c>
      <c r="D165" s="307"/>
      <c r="E165" s="69" t="s">
        <v>325</v>
      </c>
      <c r="F165" s="77">
        <v>1</v>
      </c>
      <c r="G165" s="218">
        <v>0</v>
      </c>
      <c r="H165" s="77">
        <f t="shared" si="0"/>
        <v>0</v>
      </c>
      <c r="I165" s="77">
        <f t="shared" si="1"/>
        <v>0</v>
      </c>
      <c r="J165" s="77">
        <f t="shared" si="2"/>
        <v>0</v>
      </c>
      <c r="K165" s="77">
        <v>0.158</v>
      </c>
      <c r="L165" s="77">
        <f t="shared" si="3"/>
        <v>0.158</v>
      </c>
      <c r="M165" s="103" t="s">
        <v>35</v>
      </c>
      <c r="X165" s="77">
        <f t="shared" si="4"/>
        <v>0</v>
      </c>
      <c r="Z165" s="77">
        <f t="shared" si="5"/>
        <v>0</v>
      </c>
      <c r="AA165" s="77">
        <f t="shared" si="6"/>
        <v>0</v>
      </c>
      <c r="AB165" s="77">
        <f t="shared" si="7"/>
        <v>0</v>
      </c>
      <c r="AC165" s="77">
        <f t="shared" si="8"/>
        <v>0</v>
      </c>
      <c r="AD165" s="77">
        <f t="shared" si="9"/>
        <v>0</v>
      </c>
      <c r="AE165" s="77">
        <f t="shared" si="10"/>
        <v>0</v>
      </c>
      <c r="AF165" s="77">
        <f t="shared" si="11"/>
        <v>0</v>
      </c>
      <c r="AG165" s="71" t="s">
        <v>129</v>
      </c>
      <c r="AH165" s="77">
        <f t="shared" si="12"/>
        <v>0</v>
      </c>
      <c r="AI165" s="77">
        <f t="shared" si="13"/>
        <v>0</v>
      </c>
      <c r="AJ165" s="77">
        <f t="shared" si="14"/>
        <v>0</v>
      </c>
      <c r="AL165" s="77">
        <v>15</v>
      </c>
      <c r="AM165" s="77">
        <f t="shared" si="15"/>
        <v>0</v>
      </c>
      <c r="AN165" s="77">
        <f t="shared" si="16"/>
        <v>0</v>
      </c>
      <c r="AO165" s="79" t="s">
        <v>130</v>
      </c>
      <c r="AT165" s="77">
        <f t="shared" si="17"/>
        <v>0</v>
      </c>
      <c r="AU165" s="77">
        <f t="shared" si="18"/>
        <v>0</v>
      </c>
      <c r="AV165" s="77">
        <f t="shared" si="19"/>
        <v>0</v>
      </c>
      <c r="AW165" s="79" t="s">
        <v>416</v>
      </c>
      <c r="AX165" s="79" t="s">
        <v>417</v>
      </c>
      <c r="AY165" s="71" t="s">
        <v>137</v>
      </c>
      <c r="BA165" s="77">
        <f t="shared" si="20"/>
        <v>0</v>
      </c>
      <c r="BB165" s="77">
        <f t="shared" si="21"/>
        <v>0</v>
      </c>
      <c r="BC165" s="77">
        <v>0</v>
      </c>
      <c r="BD165" s="77">
        <f t="shared" si="22"/>
        <v>0.158</v>
      </c>
      <c r="BF165" s="77">
        <f t="shared" si="23"/>
        <v>0</v>
      </c>
      <c r="BG165" s="77">
        <f t="shared" si="24"/>
        <v>0</v>
      </c>
      <c r="BH165" s="77">
        <f t="shared" si="25"/>
        <v>0</v>
      </c>
      <c r="BI165" s="77"/>
      <c r="BJ165" s="77"/>
      <c r="BU165" s="77" t="e">
        <f>#REF!</f>
        <v>#REF!</v>
      </c>
      <c r="BV165" s="70" t="s">
        <v>469</v>
      </c>
    </row>
    <row r="166" spans="1:74" ht="27" customHeight="1" x14ac:dyDescent="0.25">
      <c r="A166" s="104"/>
      <c r="B166" s="81" t="s">
        <v>138</v>
      </c>
      <c r="C166" s="303" t="s">
        <v>470</v>
      </c>
      <c r="D166" s="304"/>
      <c r="E166" s="304"/>
      <c r="F166" s="304"/>
      <c r="G166" s="304"/>
      <c r="H166" s="304"/>
      <c r="I166" s="304"/>
      <c r="J166" s="304"/>
      <c r="K166" s="304"/>
      <c r="L166" s="304"/>
      <c r="M166" s="305"/>
    </row>
    <row r="167" spans="1:74" x14ac:dyDescent="0.25">
      <c r="A167" s="92" t="s">
        <v>471</v>
      </c>
      <c r="B167" s="69" t="s">
        <v>472</v>
      </c>
      <c r="C167" s="306" t="s">
        <v>473</v>
      </c>
      <c r="D167" s="307"/>
      <c r="E167" s="69" t="s">
        <v>325</v>
      </c>
      <c r="F167" s="77">
        <v>2</v>
      </c>
      <c r="G167" s="218">
        <v>0</v>
      </c>
      <c r="H167" s="77">
        <f>F167*AM167</f>
        <v>0</v>
      </c>
      <c r="I167" s="77">
        <f>F167*AN167</f>
        <v>0</v>
      </c>
      <c r="J167" s="77">
        <f>F167*G167</f>
        <v>0</v>
      </c>
      <c r="K167" s="77">
        <v>0.158</v>
      </c>
      <c r="L167" s="77">
        <f>F167*K167</f>
        <v>0.316</v>
      </c>
      <c r="M167" s="103" t="s">
        <v>35</v>
      </c>
      <c r="X167" s="77">
        <f>IF(AO167="5",BH167,0)</f>
        <v>0</v>
      </c>
      <c r="Z167" s="77">
        <f>IF(AO167="1",BF167,0)</f>
        <v>0</v>
      </c>
      <c r="AA167" s="77">
        <f>IF(AO167="1",BG167,0)</f>
        <v>0</v>
      </c>
      <c r="AB167" s="77">
        <f>IF(AO167="7",BF167,0)</f>
        <v>0</v>
      </c>
      <c r="AC167" s="77">
        <f>IF(AO167="7",BG167,0)</f>
        <v>0</v>
      </c>
      <c r="AD167" s="77">
        <f>IF(AO167="2",BF167,0)</f>
        <v>0</v>
      </c>
      <c r="AE167" s="77">
        <f>IF(AO167="2",BG167,0)</f>
        <v>0</v>
      </c>
      <c r="AF167" s="77">
        <f>IF(AO167="0",BH167,0)</f>
        <v>0</v>
      </c>
      <c r="AG167" s="71" t="s">
        <v>129</v>
      </c>
      <c r="AH167" s="77">
        <f>IF(AL167=0,J167,0)</f>
        <v>0</v>
      </c>
      <c r="AI167" s="77">
        <f>IF(AL167=15,J167,0)</f>
        <v>0</v>
      </c>
      <c r="AJ167" s="77">
        <f>IF(AL167=21,J167,0)</f>
        <v>0</v>
      </c>
      <c r="AL167" s="77">
        <v>15</v>
      </c>
      <c r="AM167" s="77">
        <f>G167*1</f>
        <v>0</v>
      </c>
      <c r="AN167" s="77">
        <f>G167*(1-1)</f>
        <v>0</v>
      </c>
      <c r="AO167" s="79" t="s">
        <v>130</v>
      </c>
      <c r="AT167" s="77">
        <f>AU167+AV167</f>
        <v>0</v>
      </c>
      <c r="AU167" s="77">
        <f>F167*AM167</f>
        <v>0</v>
      </c>
      <c r="AV167" s="77">
        <f>F167*AN167</f>
        <v>0</v>
      </c>
      <c r="AW167" s="79" t="s">
        <v>416</v>
      </c>
      <c r="AX167" s="79" t="s">
        <v>417</v>
      </c>
      <c r="AY167" s="71" t="s">
        <v>137</v>
      </c>
      <c r="BA167" s="77">
        <f>AU167+AV167</f>
        <v>0</v>
      </c>
      <c r="BB167" s="77">
        <f>G167/(100-BC167)*100</f>
        <v>0</v>
      </c>
      <c r="BC167" s="77">
        <v>0</v>
      </c>
      <c r="BD167" s="77">
        <f>L167</f>
        <v>0.316</v>
      </c>
      <c r="BF167" s="77">
        <f>F167*AM167</f>
        <v>0</v>
      </c>
      <c r="BG167" s="77">
        <f>F167*AN167</f>
        <v>0</v>
      </c>
      <c r="BH167" s="77">
        <f>F167*G167</f>
        <v>0</v>
      </c>
      <c r="BI167" s="77"/>
      <c r="BJ167" s="77"/>
      <c r="BU167" s="77" t="e">
        <f>#REF!</f>
        <v>#REF!</v>
      </c>
      <c r="BV167" s="70" t="s">
        <v>473</v>
      </c>
    </row>
    <row r="168" spans="1:74" ht="27" customHeight="1" thickBot="1" x14ac:dyDescent="0.3">
      <c r="A168" s="107"/>
      <c r="B168" s="108" t="s">
        <v>138</v>
      </c>
      <c r="C168" s="308" t="s">
        <v>474</v>
      </c>
      <c r="D168" s="309"/>
      <c r="E168" s="309"/>
      <c r="F168" s="309"/>
      <c r="G168" s="309"/>
      <c r="H168" s="309"/>
      <c r="I168" s="309"/>
      <c r="J168" s="309"/>
      <c r="K168" s="309"/>
      <c r="L168" s="309"/>
      <c r="M168" s="310"/>
    </row>
    <row r="169" spans="1:74" x14ac:dyDescent="0.25">
      <c r="H169" s="311" t="s">
        <v>475</v>
      </c>
      <c r="I169" s="311"/>
      <c r="J169" s="84">
        <f>ROUND(J12+J15+J28+J31+J46+J51+J64+J70+J75+J81+J84+J87+J96+J105+J126+J129+J136+J140,1)</f>
        <v>0</v>
      </c>
    </row>
    <row r="170" spans="1:74" x14ac:dyDescent="0.25">
      <c r="A170" s="85" t="s">
        <v>138</v>
      </c>
    </row>
    <row r="171" spans="1:74" ht="13.5" customHeight="1" x14ac:dyDescent="0.25">
      <c r="A171" s="306" t="s">
        <v>476</v>
      </c>
      <c r="B171" s="307"/>
      <c r="C171" s="307"/>
      <c r="D171" s="307"/>
      <c r="E171" s="307"/>
      <c r="F171" s="307"/>
      <c r="G171" s="307"/>
      <c r="H171" s="307"/>
      <c r="I171" s="307"/>
      <c r="J171" s="307"/>
      <c r="K171" s="307"/>
      <c r="L171" s="307"/>
      <c r="M171" s="307"/>
    </row>
  </sheetData>
  <sheetProtection algorithmName="SHA-512" hashValue="wdIPyNInm6it8Lcd/9DEaYwUUG+qgGbXgDUoQCzavCUhguujhqQLbmVpt9vAjPiJ6m2lLe2fAbjUwdvMhW09pg==" saltValue="T9z+rygTo+1JicDCoDitZA==" spinCount="100000" sheet="1" formatCells="0" formatColumns="0" formatRows="0" insertColumns="0" insertRows="0" insertHyperlinks="0"/>
  <mergeCells count="188">
    <mergeCell ref="C167:D167"/>
    <mergeCell ref="C168:M168"/>
    <mergeCell ref="H169:I169"/>
    <mergeCell ref="A171:M171"/>
    <mergeCell ref="C161:D161"/>
    <mergeCell ref="C162:D162"/>
    <mergeCell ref="C163:D163"/>
    <mergeCell ref="C164:D164"/>
    <mergeCell ref="C165:D165"/>
    <mergeCell ref="C166:M166"/>
    <mergeCell ref="C155:D155"/>
    <mergeCell ref="C156:M156"/>
    <mergeCell ref="C157:D157"/>
    <mergeCell ref="C158:M158"/>
    <mergeCell ref="C159:D159"/>
    <mergeCell ref="C160:D160"/>
    <mergeCell ref="C149:D149"/>
    <mergeCell ref="C150:M150"/>
    <mergeCell ref="C151:D151"/>
    <mergeCell ref="C152:M152"/>
    <mergeCell ref="C153:D153"/>
    <mergeCell ref="C154:M154"/>
    <mergeCell ref="C143:D143"/>
    <mergeCell ref="C144:M144"/>
    <mergeCell ref="C145:D145"/>
    <mergeCell ref="C146:M146"/>
    <mergeCell ref="C147:D147"/>
    <mergeCell ref="C148:M148"/>
    <mergeCell ref="C137:D137"/>
    <mergeCell ref="C138:D138"/>
    <mergeCell ref="C139:D139"/>
    <mergeCell ref="C140:D140"/>
    <mergeCell ref="C141:D141"/>
    <mergeCell ref="C142:M142"/>
    <mergeCell ref="C131:D131"/>
    <mergeCell ref="C132:M132"/>
    <mergeCell ref="C133:D133"/>
    <mergeCell ref="C134:M134"/>
    <mergeCell ref="C135:D135"/>
    <mergeCell ref="C136:D136"/>
    <mergeCell ref="C125:M125"/>
    <mergeCell ref="C126:D126"/>
    <mergeCell ref="C127:D127"/>
    <mergeCell ref="C128:M128"/>
    <mergeCell ref="C129:D129"/>
    <mergeCell ref="C130:D130"/>
    <mergeCell ref="C119:M119"/>
    <mergeCell ref="C120:D120"/>
    <mergeCell ref="C121:M121"/>
    <mergeCell ref="C122:D122"/>
    <mergeCell ref="C123:M123"/>
    <mergeCell ref="C124:D124"/>
    <mergeCell ref="C113:M113"/>
    <mergeCell ref="C114:D114"/>
    <mergeCell ref="C115:M115"/>
    <mergeCell ref="C116:D116"/>
    <mergeCell ref="C117:M117"/>
    <mergeCell ref="C118:D118"/>
    <mergeCell ref="C107:M107"/>
    <mergeCell ref="C108:D108"/>
    <mergeCell ref="C109:M109"/>
    <mergeCell ref="C110:D110"/>
    <mergeCell ref="C111:M111"/>
    <mergeCell ref="C112:D112"/>
    <mergeCell ref="C101:D101"/>
    <mergeCell ref="C102:M102"/>
    <mergeCell ref="C103:D103"/>
    <mergeCell ref="C104:M104"/>
    <mergeCell ref="C105:D105"/>
    <mergeCell ref="C106:D106"/>
    <mergeCell ref="C95:M95"/>
    <mergeCell ref="C96:D96"/>
    <mergeCell ref="C97:D97"/>
    <mergeCell ref="C98:M98"/>
    <mergeCell ref="C99:D99"/>
    <mergeCell ref="C100:M100"/>
    <mergeCell ref="C89:M89"/>
    <mergeCell ref="C90:D90"/>
    <mergeCell ref="C91:M91"/>
    <mergeCell ref="C92:D92"/>
    <mergeCell ref="C93:M93"/>
    <mergeCell ref="C94:D94"/>
    <mergeCell ref="C83:M83"/>
    <mergeCell ref="C84:D84"/>
    <mergeCell ref="C85:D85"/>
    <mergeCell ref="C86:M86"/>
    <mergeCell ref="C87:D87"/>
    <mergeCell ref="C88:D88"/>
    <mergeCell ref="C77:M77"/>
    <mergeCell ref="C78:D78"/>
    <mergeCell ref="C79:M79"/>
    <mergeCell ref="C80:D80"/>
    <mergeCell ref="C81:D81"/>
    <mergeCell ref="C82:D82"/>
    <mergeCell ref="C71:D71"/>
    <mergeCell ref="C72:M72"/>
    <mergeCell ref="C73:D73"/>
    <mergeCell ref="C74:M74"/>
    <mergeCell ref="C75:D75"/>
    <mergeCell ref="C76:D76"/>
    <mergeCell ref="C65:D65"/>
    <mergeCell ref="C66:M66"/>
    <mergeCell ref="C67:D67"/>
    <mergeCell ref="C68:D68"/>
    <mergeCell ref="C69:M69"/>
    <mergeCell ref="C70:D70"/>
    <mergeCell ref="C59:M59"/>
    <mergeCell ref="C60:D60"/>
    <mergeCell ref="C61:M61"/>
    <mergeCell ref="C62:D62"/>
    <mergeCell ref="C63:M63"/>
    <mergeCell ref="C64:D64"/>
    <mergeCell ref="C53:M53"/>
    <mergeCell ref="C54:D54"/>
    <mergeCell ref="C55:M55"/>
    <mergeCell ref="C56:D56"/>
    <mergeCell ref="C57:M57"/>
    <mergeCell ref="C58:D58"/>
    <mergeCell ref="C47:D47"/>
    <mergeCell ref="C48:M48"/>
    <mergeCell ref="C49:D49"/>
    <mergeCell ref="C50:M50"/>
    <mergeCell ref="C51:D51"/>
    <mergeCell ref="C52:D52"/>
    <mergeCell ref="C41:M41"/>
    <mergeCell ref="C42:D42"/>
    <mergeCell ref="C43:M43"/>
    <mergeCell ref="C44:D44"/>
    <mergeCell ref="C45:M45"/>
    <mergeCell ref="C46:D46"/>
    <mergeCell ref="C35:M35"/>
    <mergeCell ref="C36:D36"/>
    <mergeCell ref="C37:M37"/>
    <mergeCell ref="C38:D38"/>
    <mergeCell ref="C39:M39"/>
    <mergeCell ref="C40:D40"/>
    <mergeCell ref="C29:D29"/>
    <mergeCell ref="C30:M30"/>
    <mergeCell ref="C31:D31"/>
    <mergeCell ref="C32:D32"/>
    <mergeCell ref="C33:M33"/>
    <mergeCell ref="C34:D34"/>
    <mergeCell ref="C23:M23"/>
    <mergeCell ref="C24:D24"/>
    <mergeCell ref="C25:M25"/>
    <mergeCell ref="C26:D26"/>
    <mergeCell ref="C27:M27"/>
    <mergeCell ref="C28:D28"/>
    <mergeCell ref="C17:M17"/>
    <mergeCell ref="C18:D18"/>
    <mergeCell ref="C19:M19"/>
    <mergeCell ref="C20:D20"/>
    <mergeCell ref="C21:M21"/>
    <mergeCell ref="C22:D22"/>
    <mergeCell ref="C15:D15"/>
    <mergeCell ref="C16:D16"/>
    <mergeCell ref="A8:B9"/>
    <mergeCell ref="C8:D9"/>
    <mergeCell ref="E8:F9"/>
    <mergeCell ref="G8:G9"/>
    <mergeCell ref="C10:D10"/>
    <mergeCell ref="H10:J10"/>
    <mergeCell ref="K10:L10"/>
    <mergeCell ref="A6:B7"/>
    <mergeCell ref="C6:D7"/>
    <mergeCell ref="E6:F7"/>
    <mergeCell ref="G6:G7"/>
    <mergeCell ref="C11:D11"/>
    <mergeCell ref="C12:D12"/>
    <mergeCell ref="C13:D13"/>
    <mergeCell ref="C14:M14"/>
    <mergeCell ref="H6:H7"/>
    <mergeCell ref="I6:M7"/>
    <mergeCell ref="H8:H9"/>
    <mergeCell ref="I8:M9"/>
    <mergeCell ref="A1:M1"/>
    <mergeCell ref="A2:B3"/>
    <mergeCell ref="C2:D3"/>
    <mergeCell ref="E2:F3"/>
    <mergeCell ref="G2:G3"/>
    <mergeCell ref="A4:B5"/>
    <mergeCell ref="C4:D5"/>
    <mergeCell ref="E4:F5"/>
    <mergeCell ref="G4:G5"/>
    <mergeCell ref="H2:H3"/>
    <mergeCell ref="I2:M3"/>
    <mergeCell ref="H4:H5"/>
    <mergeCell ref="I4:M5"/>
  </mergeCells>
  <pageMargins left="0.98425196850393704" right="0.39370078740157483" top="0.59055118110236227" bottom="0.59055118110236227" header="0.39370078740157483" footer="0.39370078740157483"/>
  <pageSetup paperSize="9" scale="56" fitToHeight="0" orientation="landscape" r:id="rId1"/>
  <headerFooter>
    <oddFooter>&amp;L&amp;A&amp;Rstran &amp;N / strana &amp;P</oddFooter>
  </headerFooter>
  <rowBreaks count="4" manualBreakCount="4">
    <brk id="33" max="12" man="1"/>
    <brk id="63" max="12" man="1"/>
    <brk id="98" max="12" man="1"/>
    <brk id="139" max="12"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17</vt:i4>
      </vt:variant>
      <vt:variant>
        <vt:lpstr>Pojmenované oblasti</vt:lpstr>
      </vt:variant>
      <vt:variant>
        <vt:i4>17</vt:i4>
      </vt:variant>
    </vt:vector>
  </HeadingPairs>
  <TitlesOfParts>
    <vt:vector size="34" baseType="lpstr">
      <vt:lpstr>REKAPITULACE</vt:lpstr>
      <vt:lpstr>SO 001 VRN</vt:lpstr>
      <vt:lpstr>SO 301.I.</vt:lpstr>
      <vt:lpstr>DSO 301.I.1.</vt:lpstr>
      <vt:lpstr>DSO 301.I.2.</vt:lpstr>
      <vt:lpstr>DSO 301.I.3.</vt:lpstr>
      <vt:lpstr>DSO 301.I.4.</vt:lpstr>
      <vt:lpstr>SO 301.II.</vt:lpstr>
      <vt:lpstr>SO 302.I.</vt:lpstr>
      <vt:lpstr>DSO 302.I.1.</vt:lpstr>
      <vt:lpstr>DSO 302.I.2.</vt:lpstr>
      <vt:lpstr>DSO 302.I.3.</vt:lpstr>
      <vt:lpstr>DSO 302.I.4.</vt:lpstr>
      <vt:lpstr>DSO 302.I.5.</vt:lpstr>
      <vt:lpstr>SO 302.II.</vt:lpstr>
      <vt:lpstr>DSO 302.II.1.</vt:lpstr>
      <vt:lpstr>SO 303</vt:lpstr>
      <vt:lpstr>'DSO 301.I.1.'!Oblast_tisku</vt:lpstr>
      <vt:lpstr>'DSO 301.I.2.'!Oblast_tisku</vt:lpstr>
      <vt:lpstr>'DSO 301.I.3.'!Oblast_tisku</vt:lpstr>
      <vt:lpstr>'DSO 301.I.4.'!Oblast_tisku</vt:lpstr>
      <vt:lpstr>'DSO 302.I.1.'!Oblast_tisku</vt:lpstr>
      <vt:lpstr>'DSO 302.I.2.'!Oblast_tisku</vt:lpstr>
      <vt:lpstr>'DSO 302.I.3.'!Oblast_tisku</vt:lpstr>
      <vt:lpstr>'DSO 302.I.4.'!Oblast_tisku</vt:lpstr>
      <vt:lpstr>'DSO 302.I.5.'!Oblast_tisku</vt:lpstr>
      <vt:lpstr>'DSO 302.II.1.'!Oblast_tisku</vt:lpstr>
      <vt:lpstr>REKAPITULACE!Oblast_tisku</vt:lpstr>
      <vt:lpstr>'SO 001 VRN'!Oblast_tisku</vt:lpstr>
      <vt:lpstr>'SO 301.I.'!Oblast_tisku</vt:lpstr>
      <vt:lpstr>'SO 301.II.'!Oblast_tisku</vt:lpstr>
      <vt:lpstr>'SO 302.I.'!Oblast_tisku</vt:lpstr>
      <vt:lpstr>'SO 302.II.'!Oblast_tisku</vt:lpstr>
      <vt:lpstr>'SO 303'!Oblast_tisku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Bc. Marek PETSCHENKA</dc:creator>
  <cp:lastModifiedBy>user</cp:lastModifiedBy>
  <cp:lastPrinted>2024-06-11T11:24:59Z</cp:lastPrinted>
  <dcterms:created xsi:type="dcterms:W3CDTF">2019-08-31T01:49:02Z</dcterms:created>
  <dcterms:modified xsi:type="dcterms:W3CDTF">2024-08-28T07:19:42Z</dcterms:modified>
</cp:coreProperties>
</file>